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embeddings/oleObject2.bin" ContentType="application/vnd.openxmlformats-officedocument.oleObject"/>
  <Override PartName="/xl/ctrlProps/ctrlProp2.xml" ContentType="application/vnd.ms-excel.controlproperti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embeddings/oleObject3.bin" ContentType="application/vnd.openxmlformats-officedocument.oleObject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embeddings/oleObject4.bin" ContentType="application/vnd.openxmlformats-officedocument.oleObject"/>
  <Override PartName="/xl/ctrlProps/ctrlProp3.xml" ContentType="application/vnd.ms-excel.controlproperti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Αυτό_το_βιβλίο_εργασίας" defaultThemeVersion="124226"/>
  <bookViews>
    <workbookView xWindow="480" yWindow="105" windowWidth="11175" windowHeight="5475" activeTab="4"/>
  </bookViews>
  <sheets>
    <sheet name="parallel" sheetId="1" r:id="rId1"/>
    <sheet name="circluls point source" sheetId="4" r:id="rId2"/>
    <sheet name="RAINBOW" sheetId="6" r:id="rId3"/>
    <sheet name="two reflections" sheetId="7" r:id="rId4"/>
    <sheet name="rainbow finite" sheetId="8" r:id="rId5"/>
    <sheet name="one point" sheetId="2" r:id="rId6"/>
  </sheets>
  <definedNames>
    <definedName name="Al_Farisi_in_degrees">RAINBOW!$A$10</definedName>
    <definedName name="ANGLE_SOURCE">'one point'!$D$30</definedName>
    <definedName name="caera">parallel!$G$2</definedName>
    <definedName name="caera1">'one point'!$G$2</definedName>
    <definedName name="cmeso">parallel!$G$3</definedName>
    <definedName name="cmeso1">'one point'!$G$3</definedName>
    <definedName name="deikths">RAINBOW!$B$4</definedName>
    <definedName name="deltagon">'rainbow finite'!$P$20</definedName>
    <definedName name="dgon">'rainbow finite'!$P$18</definedName>
    <definedName name="dkyma">'one point'!$I$49</definedName>
    <definedName name="DWAVE">parallel!$H$28</definedName>
    <definedName name="f_point">'one point'!$A$38</definedName>
    <definedName name="far_point_rad">'rainbow finite'!$L$28</definedName>
    <definedName name="farisi_point">'rainbow finite'!$L$27</definedName>
    <definedName name="gonia_pigi">'one point'!$E$30</definedName>
    <definedName name="Index_of_ref">RAINBOW!$AZ$1</definedName>
    <definedName name="nd">parallel!$F$1</definedName>
    <definedName name="ndd">'one point'!$F$1</definedName>
    <definedName name="nnn">parallel!$M$19</definedName>
    <definedName name="PI">parallel!$I$1</definedName>
    <definedName name="radius_rain">RAINBOW!$BC$1</definedName>
    <definedName name="RCYCLE">parallel!$B$3</definedName>
    <definedName name="RCYCLE2">'one point'!$B$3</definedName>
    <definedName name="sin_far">'rainbow finite'!$L$22</definedName>
    <definedName name="STEP">parallel!$B$4</definedName>
    <definedName name="STEP2">parallel!$D$2</definedName>
    <definedName name="STEP22">'one point'!$D$2</definedName>
    <definedName name="STEPp">'one point'!$B$4</definedName>
    <definedName name="t">parallel!$E$22</definedName>
    <definedName name="tt">'one point'!$E$22</definedName>
    <definedName name="x_pigis2">'one point'!$AY$12</definedName>
    <definedName name="x_source">'rainbow finite'!$L$2</definedName>
    <definedName name="XARXI">parallel!$D$1</definedName>
    <definedName name="XARXI2">'one point'!$D$1</definedName>
    <definedName name="xc">parallel!$B$1</definedName>
    <definedName name="xcc">'one point'!$B$1</definedName>
    <definedName name="y_pigis">'one point'!$E$31</definedName>
    <definedName name="y_pigis2">'one point'!$AZ$12</definedName>
    <definedName name="y_source">'rainbow finite'!$M$2</definedName>
    <definedName name="yarxi">'one point'!$D$3</definedName>
    <definedName name="yc">parallel!$B$2</definedName>
    <definedName name="ycc">'one point'!$B$2</definedName>
  </definedNames>
  <calcPr calcId="145621" refMode="R1C1"/>
</workbook>
</file>

<file path=xl/calcChain.xml><?xml version="1.0" encoding="utf-8"?>
<calcChain xmlns="http://schemas.openxmlformats.org/spreadsheetml/2006/main">
  <c r="L2" i="8" l="1"/>
  <c r="AZ14" i="8" l="1"/>
  <c r="AY14" i="8"/>
  <c r="AX14" i="8"/>
  <c r="AW14" i="8"/>
  <c r="AV14" i="8"/>
  <c r="AU14" i="8"/>
  <c r="AT14" i="8"/>
  <c r="AS14" i="8"/>
  <c r="AR14" i="8"/>
  <c r="AQ14" i="8"/>
  <c r="AP14" i="8"/>
  <c r="AO14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34" i="8"/>
  <c r="Q30" i="8"/>
  <c r="P30" i="8"/>
  <c r="P14" i="8"/>
  <c r="O14" i="8"/>
  <c r="AZ7" i="8"/>
  <c r="AY7" i="8"/>
  <c r="AX7" i="8"/>
  <c r="AW7" i="8"/>
  <c r="AV7" i="8"/>
  <c r="AU7" i="8"/>
  <c r="AT7" i="8"/>
  <c r="AS7" i="8"/>
  <c r="AR7" i="8"/>
  <c r="AQ7" i="8"/>
  <c r="AP7" i="8"/>
  <c r="AO7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N4" i="8"/>
  <c r="O4" i="8" s="1"/>
  <c r="O5" i="8" s="1"/>
  <c r="R25" i="8"/>
  <c r="R26" i="8" s="1"/>
  <c r="O32" i="8"/>
  <c r="P27" i="8"/>
  <c r="P25" i="8"/>
  <c r="R27" i="8"/>
  <c r="M30" i="8"/>
  <c r="L30" i="8"/>
  <c r="M41" i="8"/>
  <c r="L41" i="8"/>
  <c r="L38" i="8"/>
  <c r="L22" i="8"/>
  <c r="L27" i="8" s="1"/>
  <c r="L25" i="8" s="1"/>
  <c r="M20" i="8"/>
  <c r="P7" i="8"/>
  <c r="O7" i="8"/>
  <c r="Q3" i="8"/>
  <c r="S3" i="8" s="1"/>
  <c r="U3" i="8" s="1"/>
  <c r="W3" i="8" s="1"/>
  <c r="Y3" i="8" s="1"/>
  <c r="AA3" i="8" s="1"/>
  <c r="AC3" i="8" s="1"/>
  <c r="AE3" i="8" s="1"/>
  <c r="AG3" i="8" s="1"/>
  <c r="AI3" i="8" s="1"/>
  <c r="AK3" i="8" s="1"/>
  <c r="AM3" i="8" s="1"/>
  <c r="AO3" i="8" s="1"/>
  <c r="AQ3" i="8" s="1"/>
  <c r="AS3" i="8" s="1"/>
  <c r="AU3" i="8" s="1"/>
  <c r="AW3" i="8" s="1"/>
  <c r="AY3" i="8" s="1"/>
  <c r="M14" i="7"/>
  <c r="L13" i="7"/>
  <c r="M13" i="7"/>
  <c r="L1" i="7"/>
  <c r="L7" i="7" s="1"/>
  <c r="AZ4" i="7"/>
  <c r="AZ5" i="7" s="1"/>
  <c r="AZ3" i="7"/>
  <c r="AY11" i="7"/>
  <c r="AY12" i="7" s="1"/>
  <c r="AX11" i="7"/>
  <c r="AW11" i="7"/>
  <c r="AW12" i="7" s="1"/>
  <c r="AV11" i="7"/>
  <c r="AU11" i="7"/>
  <c r="AU12" i="7" s="1"/>
  <c r="AT11" i="7"/>
  <c r="AS11" i="7"/>
  <c r="AS12" i="7" s="1"/>
  <c r="AR11" i="7"/>
  <c r="AQ11" i="7"/>
  <c r="AQ12" i="7" s="1"/>
  <c r="AP11" i="7"/>
  <c r="AO11" i="7"/>
  <c r="AO12" i="7" s="1"/>
  <c r="AN11" i="7"/>
  <c r="AM11" i="7"/>
  <c r="AM12" i="7" s="1"/>
  <c r="AL11" i="7"/>
  <c r="AK11" i="7"/>
  <c r="AK12" i="7" s="1"/>
  <c r="AJ11" i="7"/>
  <c r="AI11" i="7"/>
  <c r="AI12" i="7" s="1"/>
  <c r="AH11" i="7"/>
  <c r="AG11" i="7"/>
  <c r="AG12" i="7" s="1"/>
  <c r="AF11" i="7"/>
  <c r="AE11" i="7"/>
  <c r="AE12" i="7" s="1"/>
  <c r="AD11" i="7"/>
  <c r="AC11" i="7"/>
  <c r="AC12" i="7" s="1"/>
  <c r="AB11" i="7"/>
  <c r="AA11" i="7"/>
  <c r="AA12" i="7" s="1"/>
  <c r="Z11" i="7"/>
  <c r="Y11" i="7"/>
  <c r="Y12" i="7" s="1"/>
  <c r="X11" i="7"/>
  <c r="W11" i="7"/>
  <c r="W12" i="7" s="1"/>
  <c r="V11" i="7"/>
  <c r="U11" i="7"/>
  <c r="U12" i="7" s="1"/>
  <c r="T11" i="7"/>
  <c r="AY10" i="7"/>
  <c r="AX10" i="7"/>
  <c r="AW10" i="7"/>
  <c r="AV10" i="7"/>
  <c r="AU10" i="7"/>
  <c r="AT10" i="7"/>
  <c r="AS10" i="7"/>
  <c r="AR10" i="7"/>
  <c r="AQ10" i="7"/>
  <c r="AP10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Z10" i="7"/>
  <c r="Y10" i="7"/>
  <c r="X10" i="7"/>
  <c r="W10" i="7"/>
  <c r="V10" i="7"/>
  <c r="U10" i="7"/>
  <c r="T10" i="7"/>
  <c r="AY9" i="7"/>
  <c r="AX9" i="7"/>
  <c r="AW9" i="7"/>
  <c r="AV9" i="7"/>
  <c r="AU9" i="7"/>
  <c r="AT9" i="7"/>
  <c r="AS9" i="7"/>
  <c r="AR9" i="7"/>
  <c r="AQ9" i="7"/>
  <c r="AP9" i="7"/>
  <c r="AO9" i="7"/>
  <c r="AN9" i="7"/>
  <c r="AM9" i="7"/>
  <c r="AL9" i="7"/>
  <c r="AK9" i="7"/>
  <c r="AJ9" i="7"/>
  <c r="AI9" i="7"/>
  <c r="AH9" i="7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AY8" i="7"/>
  <c r="AX8" i="7"/>
  <c r="AW8" i="7"/>
  <c r="AV8" i="7"/>
  <c r="AU8" i="7"/>
  <c r="AT8" i="7"/>
  <c r="AS8" i="7"/>
  <c r="AR8" i="7"/>
  <c r="AQ8" i="7"/>
  <c r="AP8" i="7"/>
  <c r="AO8" i="7"/>
  <c r="AN8" i="7"/>
  <c r="AM8" i="7"/>
  <c r="AL8" i="7"/>
  <c r="AK8" i="7"/>
  <c r="AJ8" i="7"/>
  <c r="AI8" i="7"/>
  <c r="AH8" i="7"/>
  <c r="AG8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AY7" i="7"/>
  <c r="AW7" i="7"/>
  <c r="AU7" i="7"/>
  <c r="AS7" i="7"/>
  <c r="AQ7" i="7"/>
  <c r="AO7" i="7"/>
  <c r="AM7" i="7"/>
  <c r="AK7" i="7"/>
  <c r="AI7" i="7"/>
  <c r="AG7" i="7"/>
  <c r="AE7" i="7"/>
  <c r="AC7" i="7"/>
  <c r="AA7" i="7"/>
  <c r="Y7" i="7"/>
  <c r="W7" i="7"/>
  <c r="U7" i="7"/>
  <c r="S11" i="7"/>
  <c r="S12" i="7" s="1"/>
  <c r="R11" i="7"/>
  <c r="S10" i="7"/>
  <c r="R10" i="7"/>
  <c r="S9" i="7"/>
  <c r="R9" i="7"/>
  <c r="S8" i="7"/>
  <c r="R8" i="7"/>
  <c r="S7" i="7"/>
  <c r="P8" i="7"/>
  <c r="Q8" i="7"/>
  <c r="P9" i="7"/>
  <c r="Q9" i="7"/>
  <c r="P10" i="7"/>
  <c r="Q10" i="7"/>
  <c r="P11" i="7"/>
  <c r="Q11" i="7"/>
  <c r="Q12" i="7"/>
  <c r="P28" i="8" l="1"/>
  <c r="P26" i="8"/>
  <c r="L28" i="8"/>
  <c r="N2" i="8"/>
  <c r="P4" i="8"/>
  <c r="N5" i="8"/>
  <c r="O2" i="8"/>
  <c r="M10" i="7"/>
  <c r="L10" i="7"/>
  <c r="M9" i="7"/>
  <c r="L6" i="7"/>
  <c r="L4" i="7" s="1"/>
  <c r="BA8" i="7"/>
  <c r="AZ8" i="7"/>
  <c r="BA7" i="7"/>
  <c r="AZ2" i="7"/>
  <c r="BA4" i="7"/>
  <c r="M26" i="8" l="1"/>
  <c r="L33" i="8"/>
  <c r="P31" i="8"/>
  <c r="Q31" i="8"/>
  <c r="Q32" i="8"/>
  <c r="P33" i="8"/>
  <c r="Q33" i="8"/>
  <c r="P32" i="8"/>
  <c r="L32" i="8"/>
  <c r="M33" i="8"/>
  <c r="L31" i="8"/>
  <c r="M31" i="8"/>
  <c r="M32" i="8"/>
  <c r="P5" i="8"/>
  <c r="P3" i="8" s="1"/>
  <c r="P2" i="8"/>
  <c r="Q4" i="8"/>
  <c r="L11" i="7"/>
  <c r="M12" i="7"/>
  <c r="L12" i="7"/>
  <c r="M11" i="7"/>
  <c r="BA5" i="7"/>
  <c r="BA2" i="7"/>
  <c r="AZ9" i="7"/>
  <c r="BA10" i="7"/>
  <c r="AZ10" i="7"/>
  <c r="BA11" i="7"/>
  <c r="BA12" i="7" s="1"/>
  <c r="BA9" i="7"/>
  <c r="AZ11" i="7"/>
  <c r="Q34" i="8" l="1"/>
  <c r="O10" i="8"/>
  <c r="P20" i="8"/>
  <c r="O15" i="8"/>
  <c r="P16" i="8"/>
  <c r="P15" i="8"/>
  <c r="P17" i="8"/>
  <c r="O16" i="8"/>
  <c r="O17" i="8"/>
  <c r="M34" i="8"/>
  <c r="L34" i="8"/>
  <c r="O9" i="8"/>
  <c r="O11" i="8"/>
  <c r="P8" i="8"/>
  <c r="O8" i="8"/>
  <c r="P9" i="8"/>
  <c r="P10" i="8"/>
  <c r="P11" i="8"/>
  <c r="Q5" i="8"/>
  <c r="R4" i="8"/>
  <c r="Q2" i="8"/>
  <c r="O4" i="7"/>
  <c r="O5" i="7" s="1"/>
  <c r="R3" i="7"/>
  <c r="T3" i="7" s="1"/>
  <c r="V3" i="7" s="1"/>
  <c r="X3" i="7" s="1"/>
  <c r="Z3" i="7" s="1"/>
  <c r="AB3" i="7" s="1"/>
  <c r="AD3" i="7" s="1"/>
  <c r="AF3" i="7" s="1"/>
  <c r="AH3" i="7" s="1"/>
  <c r="AJ3" i="7" s="1"/>
  <c r="AL3" i="7" s="1"/>
  <c r="AN3" i="7" s="1"/>
  <c r="AP3" i="7" s="1"/>
  <c r="AR3" i="7" s="1"/>
  <c r="AT3" i="7" s="1"/>
  <c r="AV3" i="7" s="1"/>
  <c r="AX3" i="7" s="1"/>
  <c r="A8" i="6"/>
  <c r="B15" i="6" s="1"/>
  <c r="P18" i="8" l="1"/>
  <c r="M35" i="8"/>
  <c r="P12" i="8"/>
  <c r="S4" i="8"/>
  <c r="R2" i="8"/>
  <c r="R5" i="8"/>
  <c r="R3" i="8" s="1"/>
  <c r="O2" i="7"/>
  <c r="P4" i="7"/>
  <c r="A15" i="6"/>
  <c r="N188" i="6"/>
  <c r="O188" i="6" s="1"/>
  <c r="N187" i="6"/>
  <c r="O187" i="6" s="1"/>
  <c r="N186" i="6"/>
  <c r="O186" i="6" s="1"/>
  <c r="N185" i="6"/>
  <c r="O185" i="6" s="1"/>
  <c r="N184" i="6"/>
  <c r="O184" i="6" s="1"/>
  <c r="N183" i="6"/>
  <c r="O183" i="6" s="1"/>
  <c r="N182" i="6"/>
  <c r="O182" i="6" s="1"/>
  <c r="N181" i="6"/>
  <c r="O181" i="6" s="1"/>
  <c r="N180" i="6"/>
  <c r="O180" i="6" s="1"/>
  <c r="N179" i="6"/>
  <c r="O179" i="6" s="1"/>
  <c r="N178" i="6"/>
  <c r="O178" i="6" s="1"/>
  <c r="N177" i="6"/>
  <c r="O177" i="6" s="1"/>
  <c r="N176" i="6"/>
  <c r="O176" i="6" s="1"/>
  <c r="N175" i="6"/>
  <c r="O175" i="6" s="1"/>
  <c r="N174" i="6"/>
  <c r="O174" i="6" s="1"/>
  <c r="N173" i="6"/>
  <c r="O173" i="6" s="1"/>
  <c r="N172" i="6"/>
  <c r="O172" i="6" s="1"/>
  <c r="N171" i="6"/>
  <c r="O171" i="6" s="1"/>
  <c r="N170" i="6"/>
  <c r="O170" i="6" s="1"/>
  <c r="N169" i="6"/>
  <c r="O169" i="6" s="1"/>
  <c r="N168" i="6"/>
  <c r="O168" i="6" s="1"/>
  <c r="N167" i="6"/>
  <c r="O167" i="6" s="1"/>
  <c r="N166" i="6"/>
  <c r="O166" i="6" s="1"/>
  <c r="N165" i="6"/>
  <c r="O165" i="6" s="1"/>
  <c r="N164" i="6"/>
  <c r="O164" i="6" s="1"/>
  <c r="N163" i="6"/>
  <c r="O163" i="6" s="1"/>
  <c r="N162" i="6"/>
  <c r="O162" i="6" s="1"/>
  <c r="N161" i="6"/>
  <c r="O161" i="6" s="1"/>
  <c r="N160" i="6"/>
  <c r="O160" i="6" s="1"/>
  <c r="N159" i="6"/>
  <c r="O159" i="6" s="1"/>
  <c r="N158" i="6"/>
  <c r="O158" i="6" s="1"/>
  <c r="N157" i="6"/>
  <c r="O157" i="6" s="1"/>
  <c r="N156" i="6"/>
  <c r="O156" i="6" s="1"/>
  <c r="N155" i="6"/>
  <c r="O155" i="6" s="1"/>
  <c r="N154" i="6"/>
  <c r="O154" i="6" s="1"/>
  <c r="N153" i="6"/>
  <c r="O153" i="6" s="1"/>
  <c r="N152" i="6"/>
  <c r="O152" i="6" s="1"/>
  <c r="N151" i="6"/>
  <c r="O151" i="6" s="1"/>
  <c r="N150" i="6"/>
  <c r="O150" i="6" s="1"/>
  <c r="N149" i="6"/>
  <c r="O149" i="6" s="1"/>
  <c r="N148" i="6"/>
  <c r="O148" i="6" s="1"/>
  <c r="N147" i="6"/>
  <c r="O147" i="6" s="1"/>
  <c r="N146" i="6"/>
  <c r="O146" i="6" s="1"/>
  <c r="N145" i="6"/>
  <c r="O145" i="6" s="1"/>
  <c r="N144" i="6"/>
  <c r="O144" i="6" s="1"/>
  <c r="N143" i="6"/>
  <c r="O143" i="6" s="1"/>
  <c r="N142" i="6"/>
  <c r="O142" i="6" s="1"/>
  <c r="N141" i="6"/>
  <c r="O141" i="6" s="1"/>
  <c r="N140" i="6"/>
  <c r="O140" i="6" s="1"/>
  <c r="N139" i="6"/>
  <c r="O139" i="6" s="1"/>
  <c r="N138" i="6"/>
  <c r="O138" i="6" s="1"/>
  <c r="N137" i="6"/>
  <c r="O137" i="6" s="1"/>
  <c r="N136" i="6"/>
  <c r="O136" i="6" s="1"/>
  <c r="N135" i="6"/>
  <c r="O135" i="6" s="1"/>
  <c r="N134" i="6"/>
  <c r="O134" i="6" s="1"/>
  <c r="N133" i="6"/>
  <c r="O133" i="6" s="1"/>
  <c r="N132" i="6"/>
  <c r="O132" i="6" s="1"/>
  <c r="N131" i="6"/>
  <c r="O131" i="6" s="1"/>
  <c r="N130" i="6"/>
  <c r="O130" i="6" s="1"/>
  <c r="N129" i="6"/>
  <c r="O129" i="6" s="1"/>
  <c r="N128" i="6"/>
  <c r="O128" i="6" s="1"/>
  <c r="N127" i="6"/>
  <c r="O127" i="6" s="1"/>
  <c r="N126" i="6"/>
  <c r="O126" i="6" s="1"/>
  <c r="N125" i="6"/>
  <c r="O125" i="6" s="1"/>
  <c r="N124" i="6"/>
  <c r="O124" i="6" s="1"/>
  <c r="N123" i="6"/>
  <c r="O123" i="6" s="1"/>
  <c r="N122" i="6"/>
  <c r="O122" i="6" s="1"/>
  <c r="N121" i="6"/>
  <c r="O121" i="6" s="1"/>
  <c r="N120" i="6"/>
  <c r="O120" i="6" s="1"/>
  <c r="N119" i="6"/>
  <c r="O119" i="6" s="1"/>
  <c r="N118" i="6"/>
  <c r="O118" i="6" s="1"/>
  <c r="N117" i="6"/>
  <c r="O117" i="6" s="1"/>
  <c r="N116" i="6"/>
  <c r="O116" i="6" s="1"/>
  <c r="N115" i="6"/>
  <c r="O115" i="6" s="1"/>
  <c r="N114" i="6"/>
  <c r="O114" i="6" s="1"/>
  <c r="N113" i="6"/>
  <c r="O113" i="6" s="1"/>
  <c r="N112" i="6"/>
  <c r="O112" i="6" s="1"/>
  <c r="N111" i="6"/>
  <c r="O111" i="6" s="1"/>
  <c r="N110" i="6"/>
  <c r="O110" i="6" s="1"/>
  <c r="N109" i="6"/>
  <c r="O109" i="6" s="1"/>
  <c r="N108" i="6"/>
  <c r="O108" i="6" s="1"/>
  <c r="N107" i="6"/>
  <c r="O107" i="6" s="1"/>
  <c r="N106" i="6"/>
  <c r="O106" i="6" s="1"/>
  <c r="N105" i="6"/>
  <c r="O105" i="6" s="1"/>
  <c r="N104" i="6"/>
  <c r="O104" i="6" s="1"/>
  <c r="N103" i="6"/>
  <c r="O103" i="6" s="1"/>
  <c r="N102" i="6"/>
  <c r="O102" i="6" s="1"/>
  <c r="O101" i="6"/>
  <c r="N101" i="6"/>
  <c r="L101" i="6"/>
  <c r="M101" i="6" s="1"/>
  <c r="M188" i="6"/>
  <c r="M187" i="6"/>
  <c r="M186" i="6"/>
  <c r="M185" i="6"/>
  <c r="M184" i="6"/>
  <c r="M183" i="6"/>
  <c r="M182" i="6"/>
  <c r="M181" i="6"/>
  <c r="M180" i="6"/>
  <c r="M179" i="6"/>
  <c r="M178" i="6"/>
  <c r="M177" i="6"/>
  <c r="M176" i="6"/>
  <c r="M175" i="6"/>
  <c r="M174" i="6"/>
  <c r="M173" i="6"/>
  <c r="M172" i="6"/>
  <c r="M171" i="6"/>
  <c r="M170" i="6"/>
  <c r="M169" i="6"/>
  <c r="M168" i="6"/>
  <c r="M167" i="6"/>
  <c r="M166" i="6"/>
  <c r="M165" i="6"/>
  <c r="M164" i="6"/>
  <c r="M163" i="6"/>
  <c r="M162" i="6"/>
  <c r="M161" i="6"/>
  <c r="M160" i="6"/>
  <c r="M159" i="6"/>
  <c r="M158" i="6"/>
  <c r="M157" i="6"/>
  <c r="M156" i="6"/>
  <c r="M155" i="6"/>
  <c r="M154" i="6"/>
  <c r="M153" i="6"/>
  <c r="M152" i="6"/>
  <c r="M151" i="6"/>
  <c r="M150" i="6"/>
  <c r="M149" i="6"/>
  <c r="M148" i="6"/>
  <c r="M147" i="6"/>
  <c r="M146" i="6"/>
  <c r="M145" i="6"/>
  <c r="M144" i="6"/>
  <c r="M143" i="6"/>
  <c r="M142" i="6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L188" i="6"/>
  <c r="E188" i="6"/>
  <c r="D188" i="6"/>
  <c r="E187" i="6"/>
  <c r="D187" i="6"/>
  <c r="E186" i="6"/>
  <c r="D186" i="6"/>
  <c r="E185" i="6"/>
  <c r="D185" i="6"/>
  <c r="E184" i="6"/>
  <c r="D184" i="6"/>
  <c r="E183" i="6"/>
  <c r="D183" i="6"/>
  <c r="E182" i="6"/>
  <c r="D182" i="6"/>
  <c r="E181" i="6"/>
  <c r="D181" i="6"/>
  <c r="E180" i="6"/>
  <c r="D180" i="6"/>
  <c r="E179" i="6"/>
  <c r="D179" i="6"/>
  <c r="E178" i="6"/>
  <c r="D178" i="6"/>
  <c r="E177" i="6"/>
  <c r="D177" i="6"/>
  <c r="E176" i="6"/>
  <c r="D176" i="6"/>
  <c r="E175" i="6"/>
  <c r="D175" i="6"/>
  <c r="E174" i="6"/>
  <c r="D174" i="6"/>
  <c r="E173" i="6"/>
  <c r="D173" i="6"/>
  <c r="E172" i="6"/>
  <c r="D172" i="6"/>
  <c r="E171" i="6"/>
  <c r="D171" i="6"/>
  <c r="E170" i="6"/>
  <c r="D170" i="6"/>
  <c r="E169" i="6"/>
  <c r="D169" i="6"/>
  <c r="E168" i="6"/>
  <c r="D168" i="6"/>
  <c r="E167" i="6"/>
  <c r="D167" i="6"/>
  <c r="E166" i="6"/>
  <c r="D166" i="6"/>
  <c r="E165" i="6"/>
  <c r="D165" i="6"/>
  <c r="E164" i="6"/>
  <c r="D164" i="6"/>
  <c r="E163" i="6"/>
  <c r="D163" i="6"/>
  <c r="E162" i="6"/>
  <c r="D162" i="6"/>
  <c r="E161" i="6"/>
  <c r="D161" i="6"/>
  <c r="E160" i="6"/>
  <c r="D160" i="6"/>
  <c r="E159" i="6"/>
  <c r="D159" i="6"/>
  <c r="E158" i="6"/>
  <c r="D158" i="6"/>
  <c r="E157" i="6"/>
  <c r="D157" i="6"/>
  <c r="E156" i="6"/>
  <c r="D156" i="6"/>
  <c r="E155" i="6"/>
  <c r="D155" i="6"/>
  <c r="E154" i="6"/>
  <c r="D154" i="6"/>
  <c r="E153" i="6"/>
  <c r="D153" i="6"/>
  <c r="E152" i="6"/>
  <c r="D152" i="6"/>
  <c r="E151" i="6"/>
  <c r="D151" i="6"/>
  <c r="E150" i="6"/>
  <c r="D150" i="6"/>
  <c r="E149" i="6"/>
  <c r="D149" i="6"/>
  <c r="E148" i="6"/>
  <c r="D148" i="6"/>
  <c r="E147" i="6"/>
  <c r="D147" i="6"/>
  <c r="E146" i="6"/>
  <c r="D146" i="6"/>
  <c r="E145" i="6"/>
  <c r="D145" i="6"/>
  <c r="E144" i="6"/>
  <c r="D144" i="6"/>
  <c r="E143" i="6"/>
  <c r="D143" i="6"/>
  <c r="E142" i="6"/>
  <c r="D142" i="6"/>
  <c r="E141" i="6"/>
  <c r="D141" i="6"/>
  <c r="E140" i="6"/>
  <c r="D140" i="6"/>
  <c r="E139" i="6"/>
  <c r="D139" i="6"/>
  <c r="E138" i="6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L187" i="6"/>
  <c r="L186" i="6"/>
  <c r="L185" i="6"/>
  <c r="L184" i="6"/>
  <c r="L183" i="6"/>
  <c r="L182" i="6"/>
  <c r="L181" i="6"/>
  <c r="L180" i="6"/>
  <c r="L179" i="6"/>
  <c r="L178" i="6"/>
  <c r="L177" i="6"/>
  <c r="L176" i="6"/>
  <c r="L175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K187" i="6"/>
  <c r="K186" i="6"/>
  <c r="K185" i="6"/>
  <c r="K184" i="6"/>
  <c r="K183" i="6"/>
  <c r="K182" i="6"/>
  <c r="K181" i="6"/>
  <c r="K180" i="6"/>
  <c r="K179" i="6"/>
  <c r="K178" i="6"/>
  <c r="K177" i="6"/>
  <c r="K176" i="6"/>
  <c r="K175" i="6"/>
  <c r="K174" i="6"/>
  <c r="K173" i="6"/>
  <c r="K172" i="6"/>
  <c r="K171" i="6"/>
  <c r="K170" i="6"/>
  <c r="K169" i="6"/>
  <c r="K168" i="6"/>
  <c r="K167" i="6"/>
  <c r="K166" i="6"/>
  <c r="K165" i="6"/>
  <c r="K164" i="6"/>
  <c r="K163" i="6"/>
  <c r="K162" i="6"/>
  <c r="K161" i="6"/>
  <c r="K160" i="6"/>
  <c r="K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K146" i="6"/>
  <c r="K145" i="6"/>
  <c r="K144" i="6"/>
  <c r="K143" i="6"/>
  <c r="K142" i="6"/>
  <c r="K141" i="6"/>
  <c r="K140" i="6"/>
  <c r="K139" i="6"/>
  <c r="K138" i="6"/>
  <c r="K137" i="6"/>
  <c r="K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K123" i="6"/>
  <c r="K122" i="6"/>
  <c r="K121" i="6"/>
  <c r="K120" i="6"/>
  <c r="K119" i="6"/>
  <c r="K118" i="6"/>
  <c r="K117" i="6"/>
  <c r="K116" i="6"/>
  <c r="K115" i="6"/>
  <c r="K114" i="6"/>
  <c r="K113" i="6"/>
  <c r="K112" i="6"/>
  <c r="K111" i="6"/>
  <c r="K110" i="6"/>
  <c r="K109" i="6"/>
  <c r="K108" i="6"/>
  <c r="K107" i="6"/>
  <c r="K106" i="6"/>
  <c r="K105" i="6"/>
  <c r="K104" i="6"/>
  <c r="K103" i="6"/>
  <c r="K102" i="6"/>
  <c r="K188" i="6"/>
  <c r="J188" i="6"/>
  <c r="J187" i="6"/>
  <c r="J186" i="6"/>
  <c r="J185" i="6"/>
  <c r="J184" i="6"/>
  <c r="J183" i="6"/>
  <c r="J182" i="6"/>
  <c r="J181" i="6"/>
  <c r="J180" i="6"/>
  <c r="J179" i="6"/>
  <c r="J178" i="6"/>
  <c r="J177" i="6"/>
  <c r="J176" i="6"/>
  <c r="J175" i="6"/>
  <c r="J174" i="6"/>
  <c r="J173" i="6"/>
  <c r="J172" i="6"/>
  <c r="J171" i="6"/>
  <c r="J170" i="6"/>
  <c r="J169" i="6"/>
  <c r="J168" i="6"/>
  <c r="J167" i="6"/>
  <c r="J166" i="6"/>
  <c r="J165" i="6"/>
  <c r="J164" i="6"/>
  <c r="J163" i="6"/>
  <c r="J162" i="6"/>
  <c r="J161" i="6"/>
  <c r="J160" i="6"/>
  <c r="J159" i="6"/>
  <c r="J158" i="6"/>
  <c r="J157" i="6"/>
  <c r="J156" i="6"/>
  <c r="J155" i="6"/>
  <c r="J154" i="6"/>
  <c r="J153" i="6"/>
  <c r="J152" i="6"/>
  <c r="J151" i="6"/>
  <c r="J150" i="6"/>
  <c r="J149" i="6"/>
  <c r="J148" i="6"/>
  <c r="J147" i="6"/>
  <c r="J146" i="6"/>
  <c r="J145" i="6"/>
  <c r="J144" i="6"/>
  <c r="J143" i="6"/>
  <c r="J142" i="6"/>
  <c r="J141" i="6"/>
  <c r="J140" i="6"/>
  <c r="J139" i="6"/>
  <c r="J138" i="6"/>
  <c r="J137" i="6"/>
  <c r="J136" i="6"/>
  <c r="J135" i="6"/>
  <c r="J134" i="6"/>
  <c r="J133" i="6"/>
  <c r="J132" i="6"/>
  <c r="J131" i="6"/>
  <c r="J130" i="6"/>
  <c r="J129" i="6"/>
  <c r="J128" i="6"/>
  <c r="J127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K101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I177" i="6" s="1"/>
  <c r="C176" i="6"/>
  <c r="C175" i="6"/>
  <c r="C174" i="6"/>
  <c r="C173" i="6"/>
  <c r="I173" i="6" s="1"/>
  <c r="C172" i="6"/>
  <c r="C171" i="6"/>
  <c r="I171" i="6" s="1"/>
  <c r="C170" i="6"/>
  <c r="C169" i="6"/>
  <c r="H169" i="6" s="1"/>
  <c r="C168" i="6"/>
  <c r="C167" i="6"/>
  <c r="H167" i="6" s="1"/>
  <c r="C166" i="6"/>
  <c r="C165" i="6"/>
  <c r="I165" i="6" s="1"/>
  <c r="C164" i="6"/>
  <c r="C163" i="6"/>
  <c r="I163" i="6" s="1"/>
  <c r="C162" i="6"/>
  <c r="C161" i="6"/>
  <c r="I161" i="6" s="1"/>
  <c r="C160" i="6"/>
  <c r="C159" i="6"/>
  <c r="I159" i="6" s="1"/>
  <c r="C158" i="6"/>
  <c r="C157" i="6"/>
  <c r="I157" i="6" s="1"/>
  <c r="C156" i="6"/>
  <c r="C155" i="6"/>
  <c r="I155" i="6" s="1"/>
  <c r="C154" i="6"/>
  <c r="C153" i="6"/>
  <c r="H153" i="6" s="1"/>
  <c r="C152" i="6"/>
  <c r="C151" i="6"/>
  <c r="H151" i="6" s="1"/>
  <c r="C150" i="6"/>
  <c r="C149" i="6"/>
  <c r="I149" i="6" s="1"/>
  <c r="C148" i="6"/>
  <c r="C147" i="6"/>
  <c r="I147" i="6" s="1"/>
  <c r="C146" i="6"/>
  <c r="C145" i="6"/>
  <c r="I145" i="6" s="1"/>
  <c r="C144" i="6"/>
  <c r="C143" i="6"/>
  <c r="I143" i="6" s="1"/>
  <c r="C142" i="6"/>
  <c r="C141" i="6"/>
  <c r="I141" i="6" s="1"/>
  <c r="C140" i="6"/>
  <c r="C139" i="6"/>
  <c r="I139" i="6" s="1"/>
  <c r="C138" i="6"/>
  <c r="C137" i="6"/>
  <c r="H137" i="6" s="1"/>
  <c r="C136" i="6"/>
  <c r="C135" i="6"/>
  <c r="H135" i="6" s="1"/>
  <c r="C134" i="6"/>
  <c r="C133" i="6"/>
  <c r="I133" i="6" s="1"/>
  <c r="C132" i="6"/>
  <c r="C131" i="6"/>
  <c r="I131" i="6" s="1"/>
  <c r="C130" i="6"/>
  <c r="C129" i="6"/>
  <c r="I129" i="6" s="1"/>
  <c r="C128" i="6"/>
  <c r="C127" i="6"/>
  <c r="I127" i="6" s="1"/>
  <c r="C126" i="6"/>
  <c r="C125" i="6"/>
  <c r="I125" i="6" s="1"/>
  <c r="C124" i="6"/>
  <c r="C123" i="6"/>
  <c r="I123" i="6" s="1"/>
  <c r="C122" i="6"/>
  <c r="C121" i="6"/>
  <c r="H121" i="6" s="1"/>
  <c r="C120" i="6"/>
  <c r="C119" i="6"/>
  <c r="H119" i="6" s="1"/>
  <c r="C118" i="6"/>
  <c r="C117" i="6"/>
  <c r="I117" i="6" s="1"/>
  <c r="C116" i="6"/>
  <c r="C115" i="6"/>
  <c r="I115" i="6" s="1"/>
  <c r="C114" i="6"/>
  <c r="C113" i="6"/>
  <c r="I113" i="6" s="1"/>
  <c r="C112" i="6"/>
  <c r="C111" i="6"/>
  <c r="I111" i="6" s="1"/>
  <c r="C110" i="6"/>
  <c r="C109" i="6"/>
  <c r="I109" i="6" s="1"/>
  <c r="C108" i="6"/>
  <c r="C107" i="6"/>
  <c r="I107" i="6" s="1"/>
  <c r="C106" i="6"/>
  <c r="C105" i="6"/>
  <c r="H105" i="6" s="1"/>
  <c r="C104" i="6"/>
  <c r="C103" i="6"/>
  <c r="H103" i="6" s="1"/>
  <c r="C102" i="6"/>
  <c r="D101" i="6"/>
  <c r="I188" i="6"/>
  <c r="I187" i="6"/>
  <c r="I186" i="6"/>
  <c r="I185" i="6"/>
  <c r="I184" i="6"/>
  <c r="I183" i="6"/>
  <c r="I182" i="6"/>
  <c r="I181" i="6"/>
  <c r="I180" i="6"/>
  <c r="I179" i="6"/>
  <c r="I178" i="6"/>
  <c r="H176" i="6"/>
  <c r="I175" i="6"/>
  <c r="H174" i="6"/>
  <c r="I172" i="6"/>
  <c r="I170" i="6"/>
  <c r="I168" i="6"/>
  <c r="I166" i="6"/>
  <c r="I164" i="6"/>
  <c r="I162" i="6"/>
  <c r="H160" i="6"/>
  <c r="H158" i="6"/>
  <c r="I156" i="6"/>
  <c r="I154" i="6"/>
  <c r="I152" i="6"/>
  <c r="I150" i="6"/>
  <c r="I148" i="6"/>
  <c r="I146" i="6"/>
  <c r="H144" i="6"/>
  <c r="H142" i="6"/>
  <c r="I140" i="6"/>
  <c r="I138" i="6"/>
  <c r="I136" i="6"/>
  <c r="I134" i="6"/>
  <c r="I132" i="6"/>
  <c r="I130" i="6"/>
  <c r="H128" i="6"/>
  <c r="H126" i="6"/>
  <c r="I124" i="6"/>
  <c r="I122" i="6"/>
  <c r="I120" i="6"/>
  <c r="I118" i="6"/>
  <c r="I116" i="6"/>
  <c r="I114" i="6"/>
  <c r="H112" i="6"/>
  <c r="H110" i="6"/>
  <c r="I108" i="6"/>
  <c r="I106" i="6"/>
  <c r="I104" i="6"/>
  <c r="I102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C101" i="6"/>
  <c r="I101" i="6" s="1"/>
  <c r="A103" i="6"/>
  <c r="A104" i="6" s="1"/>
  <c r="A102" i="6"/>
  <c r="B101" i="6"/>
  <c r="B100" i="6"/>
  <c r="A101" i="6"/>
  <c r="A100" i="6"/>
  <c r="R17" i="8" l="1"/>
  <c r="R16" i="8"/>
  <c r="R15" i="8"/>
  <c r="Q17" i="8"/>
  <c r="Q16" i="8"/>
  <c r="Q15" i="8"/>
  <c r="R8" i="8"/>
  <c r="Q11" i="8"/>
  <c r="Q8" i="8"/>
  <c r="R10" i="8"/>
  <c r="Q10" i="8"/>
  <c r="R9" i="8"/>
  <c r="Q9" i="8"/>
  <c r="R11" i="8"/>
  <c r="S2" i="8"/>
  <c r="S5" i="8"/>
  <c r="T4" i="8"/>
  <c r="P5" i="7"/>
  <c r="Q4" i="7"/>
  <c r="P2" i="7"/>
  <c r="I103" i="6"/>
  <c r="I105" i="6"/>
  <c r="H107" i="6"/>
  <c r="H109" i="6"/>
  <c r="I110" i="6"/>
  <c r="I112" i="6"/>
  <c r="H114" i="6"/>
  <c r="H116" i="6"/>
  <c r="I119" i="6"/>
  <c r="I121" i="6"/>
  <c r="H123" i="6"/>
  <c r="H125" i="6"/>
  <c r="I126" i="6"/>
  <c r="I128" i="6"/>
  <c r="H130" i="6"/>
  <c r="H132" i="6"/>
  <c r="I135" i="6"/>
  <c r="I137" i="6"/>
  <c r="H139" i="6"/>
  <c r="H141" i="6"/>
  <c r="I142" i="6"/>
  <c r="I144" i="6"/>
  <c r="H146" i="6"/>
  <c r="H148" i="6"/>
  <c r="I151" i="6"/>
  <c r="I153" i="6"/>
  <c r="H155" i="6"/>
  <c r="H157" i="6"/>
  <c r="I158" i="6"/>
  <c r="I160" i="6"/>
  <c r="H162" i="6"/>
  <c r="H164" i="6"/>
  <c r="I167" i="6"/>
  <c r="I169" i="6"/>
  <c r="H171" i="6"/>
  <c r="H173" i="6"/>
  <c r="I174" i="6"/>
  <c r="I176" i="6"/>
  <c r="H178" i="6"/>
  <c r="H180" i="6"/>
  <c r="H182" i="6"/>
  <c r="H184" i="6"/>
  <c r="H186" i="6"/>
  <c r="H101" i="6"/>
  <c r="J101" i="6" s="1"/>
  <c r="H102" i="6"/>
  <c r="H104" i="6"/>
  <c r="H111" i="6"/>
  <c r="H113" i="6"/>
  <c r="H118" i="6"/>
  <c r="H120" i="6"/>
  <c r="H127" i="6"/>
  <c r="H129" i="6"/>
  <c r="H134" i="6"/>
  <c r="H136" i="6"/>
  <c r="H143" i="6"/>
  <c r="H145" i="6"/>
  <c r="H150" i="6"/>
  <c r="H152" i="6"/>
  <c r="H159" i="6"/>
  <c r="H161" i="6"/>
  <c r="H166" i="6"/>
  <c r="H168" i="6"/>
  <c r="H175" i="6"/>
  <c r="H177" i="6"/>
  <c r="H188" i="6"/>
  <c r="H106" i="6"/>
  <c r="H108" i="6"/>
  <c r="H115" i="6"/>
  <c r="H117" i="6"/>
  <c r="H122" i="6"/>
  <c r="H124" i="6"/>
  <c r="H131" i="6"/>
  <c r="H133" i="6"/>
  <c r="H138" i="6"/>
  <c r="H140" i="6"/>
  <c r="H147" i="6"/>
  <c r="H149" i="6"/>
  <c r="H154" i="6"/>
  <c r="H156" i="6"/>
  <c r="H163" i="6"/>
  <c r="H165" i="6"/>
  <c r="H170" i="6"/>
  <c r="H172" i="6"/>
  <c r="H179" i="6"/>
  <c r="H181" i="6"/>
  <c r="H183" i="6"/>
  <c r="H185" i="6"/>
  <c r="H187" i="6"/>
  <c r="A105" i="6"/>
  <c r="R18" i="8" l="1"/>
  <c r="R12" i="8"/>
  <c r="T5" i="8"/>
  <c r="T3" i="8" s="1"/>
  <c r="T2" i="8"/>
  <c r="U4" i="8"/>
  <c r="Q5" i="7"/>
  <c r="R4" i="7"/>
  <c r="Q2" i="7"/>
  <c r="Q7" i="7"/>
  <c r="A106" i="6"/>
  <c r="T10" i="8" l="1"/>
  <c r="T17" i="8"/>
  <c r="T16" i="8"/>
  <c r="T15" i="8"/>
  <c r="S17" i="8"/>
  <c r="S16" i="8"/>
  <c r="S15" i="8"/>
  <c r="S9" i="8"/>
  <c r="S10" i="8"/>
  <c r="S11" i="8"/>
  <c r="S8" i="8"/>
  <c r="T8" i="8"/>
  <c r="T9" i="8"/>
  <c r="T11" i="8"/>
  <c r="U5" i="8"/>
  <c r="V4" i="8"/>
  <c r="U2" i="8"/>
  <c r="R2" i="7"/>
  <c r="R5" i="7"/>
  <c r="S4" i="7"/>
  <c r="A107" i="6"/>
  <c r="T12" i="8" l="1"/>
  <c r="T18" i="8"/>
  <c r="W4" i="8"/>
  <c r="V5" i="8"/>
  <c r="V3" i="8" s="1"/>
  <c r="V2" i="8"/>
  <c r="S5" i="7"/>
  <c r="T4" i="7"/>
  <c r="S2" i="7"/>
  <c r="A108" i="6"/>
  <c r="V10" i="8" l="1"/>
  <c r="V17" i="8"/>
  <c r="V16" i="8"/>
  <c r="V15" i="8"/>
  <c r="U17" i="8"/>
  <c r="U16" i="8"/>
  <c r="U15" i="8"/>
  <c r="U10" i="8"/>
  <c r="V8" i="8"/>
  <c r="U11" i="8"/>
  <c r="U8" i="8"/>
  <c r="V9" i="8"/>
  <c r="U9" i="8"/>
  <c r="V11" i="8"/>
  <c r="W2" i="8"/>
  <c r="W5" i="8"/>
  <c r="X4" i="8"/>
  <c r="T2" i="7"/>
  <c r="T5" i="7"/>
  <c r="U4" i="7"/>
  <c r="A109" i="6"/>
  <c r="V12" i="8" l="1"/>
  <c r="V18" i="8"/>
  <c r="X5" i="8"/>
  <c r="X3" i="8" s="1"/>
  <c r="X2" i="8"/>
  <c r="Y4" i="8"/>
  <c r="U2" i="7"/>
  <c r="U5" i="7"/>
  <c r="V4" i="7"/>
  <c r="A110" i="6"/>
  <c r="X9" i="8" l="1"/>
  <c r="X17" i="8"/>
  <c r="X16" i="8"/>
  <c r="X15" i="8"/>
  <c r="W17" i="8"/>
  <c r="W16" i="8"/>
  <c r="W15" i="8"/>
  <c r="W10" i="8"/>
  <c r="W11" i="8"/>
  <c r="W8" i="8"/>
  <c r="X8" i="8"/>
  <c r="X10" i="8"/>
  <c r="W9" i="8"/>
  <c r="X11" i="8"/>
  <c r="Y5" i="8"/>
  <c r="Z4" i="8"/>
  <c r="Y2" i="8"/>
  <c r="V2" i="7"/>
  <c r="V5" i="7"/>
  <c r="W4" i="7"/>
  <c r="A111" i="6"/>
  <c r="X18" i="8" l="1"/>
  <c r="X12" i="8"/>
  <c r="AA4" i="8"/>
  <c r="Z5" i="8"/>
  <c r="Z3" i="8" s="1"/>
  <c r="Z2" i="8"/>
  <c r="W5" i="7"/>
  <c r="X4" i="7"/>
  <c r="W2" i="7"/>
  <c r="A112" i="6"/>
  <c r="Z17" i="8" l="1"/>
  <c r="Z16" i="8"/>
  <c r="Z15" i="8"/>
  <c r="Y17" i="8"/>
  <c r="Y16" i="8"/>
  <c r="Y15" i="8"/>
  <c r="Z8" i="8"/>
  <c r="Y11" i="8"/>
  <c r="Y8" i="8"/>
  <c r="Y10" i="8"/>
  <c r="Z9" i="8"/>
  <c r="Z10" i="8"/>
  <c r="Y9" i="8"/>
  <c r="Z11" i="8"/>
  <c r="AB4" i="8"/>
  <c r="AA5" i="8"/>
  <c r="AA2" i="8"/>
  <c r="X5" i="7"/>
  <c r="Y4" i="7"/>
  <c r="X2" i="7"/>
  <c r="A113" i="6"/>
  <c r="Z18" i="8" l="1"/>
  <c r="Z12" i="8"/>
  <c r="AB5" i="8"/>
  <c r="AB3" i="8" s="1"/>
  <c r="AB2" i="8"/>
  <c r="AC4" i="8"/>
  <c r="Y5" i="7"/>
  <c r="Z4" i="7"/>
  <c r="Y2" i="7"/>
  <c r="A114" i="6"/>
  <c r="AB17" i="8" l="1"/>
  <c r="AB16" i="8"/>
  <c r="AB15" i="8"/>
  <c r="AA17" i="8"/>
  <c r="AA16" i="8"/>
  <c r="AA15" i="8"/>
  <c r="AA11" i="8"/>
  <c r="AA8" i="8"/>
  <c r="AB8" i="8"/>
  <c r="AB10" i="8"/>
  <c r="AA9" i="8"/>
  <c r="AA10" i="8"/>
  <c r="AB9" i="8"/>
  <c r="AB11" i="8"/>
  <c r="AC5" i="8"/>
  <c r="AD4" i="8"/>
  <c r="AC2" i="8"/>
  <c r="Z2" i="7"/>
  <c r="Z5" i="7"/>
  <c r="AA4" i="7"/>
  <c r="A115" i="6"/>
  <c r="AB18" i="8" l="1"/>
  <c r="AB12" i="8"/>
  <c r="AE4" i="8"/>
  <c r="AD5" i="8"/>
  <c r="AD3" i="8" s="1"/>
  <c r="AD2" i="8"/>
  <c r="AA5" i="7"/>
  <c r="AB4" i="7"/>
  <c r="AA2" i="7"/>
  <c r="A116" i="6"/>
  <c r="AD17" i="8" l="1"/>
  <c r="AD16" i="8"/>
  <c r="AD15" i="8"/>
  <c r="AC17" i="8"/>
  <c r="AC16" i="8"/>
  <c r="AC15" i="8"/>
  <c r="AD8" i="8"/>
  <c r="AC11" i="8"/>
  <c r="AC8" i="8"/>
  <c r="AD9" i="8"/>
  <c r="AC10" i="8"/>
  <c r="AD10" i="8"/>
  <c r="AC9" i="8"/>
  <c r="AD11" i="8"/>
  <c r="AE5" i="8"/>
  <c r="AE2" i="8"/>
  <c r="AF4" i="8"/>
  <c r="AB2" i="7"/>
  <c r="AB5" i="7"/>
  <c r="AC4" i="7"/>
  <c r="A117" i="6"/>
  <c r="AD12" i="8" l="1"/>
  <c r="AD18" i="8"/>
  <c r="AF5" i="8"/>
  <c r="AF3" i="8" s="1"/>
  <c r="AF2" i="8"/>
  <c r="AG4" i="8"/>
  <c r="AC2" i="7"/>
  <c r="AC5" i="7"/>
  <c r="AD4" i="7"/>
  <c r="A118" i="6"/>
  <c r="AE10" i="8" l="1"/>
  <c r="AF17" i="8"/>
  <c r="AF16" i="8"/>
  <c r="AF15" i="8"/>
  <c r="AE17" i="8"/>
  <c r="AE16" i="8"/>
  <c r="AE15" i="8"/>
  <c r="AF9" i="8"/>
  <c r="AE11" i="8"/>
  <c r="AE8" i="8"/>
  <c r="AF8" i="8"/>
  <c r="AF10" i="8"/>
  <c r="AE9" i="8"/>
  <c r="AF11" i="8"/>
  <c r="AG5" i="8"/>
  <c r="AH4" i="8"/>
  <c r="AG2" i="8"/>
  <c r="AD2" i="7"/>
  <c r="AD5" i="7"/>
  <c r="AE4" i="7"/>
  <c r="A119" i="6"/>
  <c r="AF18" i="8" l="1"/>
  <c r="AF12" i="8"/>
  <c r="AI4" i="8"/>
  <c r="AH2" i="8"/>
  <c r="AH5" i="8"/>
  <c r="AH3" i="8" s="1"/>
  <c r="AE5" i="7"/>
  <c r="AF4" i="7"/>
  <c r="AE2" i="7"/>
  <c r="A120" i="6"/>
  <c r="AH10" i="8" l="1"/>
  <c r="AH17" i="8"/>
  <c r="AH16" i="8"/>
  <c r="AH15" i="8"/>
  <c r="AG17" i="8"/>
  <c r="AG16" i="8"/>
  <c r="AG15" i="8"/>
  <c r="AH9" i="8"/>
  <c r="AH8" i="8"/>
  <c r="AG11" i="8"/>
  <c r="AG8" i="8"/>
  <c r="AG10" i="8"/>
  <c r="AG9" i="8"/>
  <c r="AH11" i="8"/>
  <c r="AI2" i="8"/>
  <c r="AI5" i="8"/>
  <c r="AJ4" i="8"/>
  <c r="AF5" i="7"/>
  <c r="AG4" i="7"/>
  <c r="AF2" i="7"/>
  <c r="A121" i="6"/>
  <c r="AH12" i="8" l="1"/>
  <c r="AH18" i="8"/>
  <c r="AJ5" i="8"/>
  <c r="AJ3" i="8" s="1"/>
  <c r="AJ2" i="8"/>
  <c r="AK4" i="8"/>
  <c r="AG5" i="7"/>
  <c r="AH4" i="7"/>
  <c r="AG2" i="7"/>
  <c r="A122" i="6"/>
  <c r="AJ9" i="8" l="1"/>
  <c r="AJ17" i="8"/>
  <c r="AJ16" i="8"/>
  <c r="AJ15" i="8"/>
  <c r="AI17" i="8"/>
  <c r="AI16" i="8"/>
  <c r="AI15" i="8"/>
  <c r="AI10" i="8"/>
  <c r="AI11" i="8"/>
  <c r="AI8" i="8"/>
  <c r="AJ8" i="8"/>
  <c r="AJ10" i="8"/>
  <c r="AI9" i="8"/>
  <c r="AJ11" i="8"/>
  <c r="AK5" i="8"/>
  <c r="AL4" i="8"/>
  <c r="AK2" i="8"/>
  <c r="AH2" i="7"/>
  <c r="AH5" i="7"/>
  <c r="AI4" i="7"/>
  <c r="A123" i="6"/>
  <c r="AJ12" i="8" l="1"/>
  <c r="AJ18" i="8"/>
  <c r="AM4" i="8"/>
  <c r="AL5" i="8"/>
  <c r="AL3" i="8" s="1"/>
  <c r="AL2" i="8"/>
  <c r="AI5" i="7"/>
  <c r="AJ4" i="7"/>
  <c r="AI2" i="7"/>
  <c r="A124" i="6"/>
  <c r="AL10" i="8" l="1"/>
  <c r="AL17" i="8"/>
  <c r="AL16" i="8"/>
  <c r="AL15" i="8"/>
  <c r="AK17" i="8"/>
  <c r="AK16" i="8"/>
  <c r="AK15" i="8"/>
  <c r="AK10" i="8"/>
  <c r="AL9" i="8"/>
  <c r="AL8" i="8"/>
  <c r="AK11" i="8"/>
  <c r="AK8" i="8"/>
  <c r="AK9" i="8"/>
  <c r="AL11" i="8"/>
  <c r="AM5" i="8"/>
  <c r="AN4" i="8"/>
  <c r="AM2" i="8"/>
  <c r="AJ2" i="7"/>
  <c r="AJ5" i="7"/>
  <c r="AK4" i="7"/>
  <c r="A125" i="6"/>
  <c r="AL18" i="8" l="1"/>
  <c r="AL12" i="8"/>
  <c r="AN5" i="8"/>
  <c r="AN3" i="8" s="1"/>
  <c r="AN2" i="8"/>
  <c r="AO4" i="8"/>
  <c r="AK2" i="7"/>
  <c r="AK5" i="7"/>
  <c r="AL4" i="7"/>
  <c r="A126" i="6"/>
  <c r="AN17" i="8" l="1"/>
  <c r="AN16" i="8"/>
  <c r="AN15" i="8"/>
  <c r="AM17" i="8"/>
  <c r="AM16" i="8"/>
  <c r="AM15" i="8"/>
  <c r="AM11" i="8"/>
  <c r="AM8" i="8"/>
  <c r="AN8" i="8"/>
  <c r="AN11" i="8"/>
  <c r="AN9" i="8"/>
  <c r="AN10" i="8"/>
  <c r="AM9" i="8"/>
  <c r="AM10" i="8"/>
  <c r="AO5" i="8"/>
  <c r="AP4" i="8"/>
  <c r="AO2" i="8"/>
  <c r="AL2" i="7"/>
  <c r="AL5" i="7"/>
  <c r="AM4" i="7"/>
  <c r="A127" i="6"/>
  <c r="AN18" i="8" l="1"/>
  <c r="AN12" i="8"/>
  <c r="AQ4" i="8"/>
  <c r="AP5" i="8"/>
  <c r="AP3" i="8" s="1"/>
  <c r="AP2" i="8"/>
  <c r="AM5" i="7"/>
  <c r="AN4" i="7"/>
  <c r="AM2" i="7"/>
  <c r="A128" i="6"/>
  <c r="AP10" i="8" l="1"/>
  <c r="AP17" i="8"/>
  <c r="AP16" i="8"/>
  <c r="AP15" i="8"/>
  <c r="AO17" i="8"/>
  <c r="AO16" i="8"/>
  <c r="AO15" i="8"/>
  <c r="AP11" i="8"/>
  <c r="AO9" i="8"/>
  <c r="AO10" i="8"/>
  <c r="AP8" i="8"/>
  <c r="AO11" i="8"/>
  <c r="AO8" i="8"/>
  <c r="AP9" i="8"/>
  <c r="AR4" i="8"/>
  <c r="AQ5" i="8"/>
  <c r="AQ2" i="8"/>
  <c r="AN2" i="7"/>
  <c r="AN5" i="7"/>
  <c r="AO4" i="7"/>
  <c r="A129" i="6"/>
  <c r="AP12" i="8" l="1"/>
  <c r="AP18" i="8"/>
  <c r="AR5" i="8"/>
  <c r="AR3" i="8" s="1"/>
  <c r="AR2" i="8"/>
  <c r="AS4" i="8"/>
  <c r="AO5" i="7"/>
  <c r="AP4" i="7"/>
  <c r="AO2" i="7"/>
  <c r="A130" i="6"/>
  <c r="AQ10" i="8" l="1"/>
  <c r="AR17" i="8"/>
  <c r="AR16" i="8"/>
  <c r="AR15" i="8"/>
  <c r="AQ17" i="8"/>
  <c r="AQ16" i="8"/>
  <c r="AQ15" i="8"/>
  <c r="AQ9" i="8"/>
  <c r="AR8" i="8"/>
  <c r="AQ11" i="8"/>
  <c r="AQ8" i="8"/>
  <c r="AR10" i="8"/>
  <c r="AR9" i="8"/>
  <c r="AR11" i="8"/>
  <c r="AS2" i="8"/>
  <c r="AS5" i="8"/>
  <c r="AT4" i="8"/>
  <c r="AP2" i="7"/>
  <c r="AP5" i="7"/>
  <c r="AQ4" i="7"/>
  <c r="A131" i="6"/>
  <c r="AR18" i="8" l="1"/>
  <c r="AR12" i="8"/>
  <c r="AU4" i="8"/>
  <c r="AT5" i="8"/>
  <c r="AT3" i="8" s="1"/>
  <c r="AT2" i="8"/>
  <c r="AQ5" i="7"/>
  <c r="AR4" i="7"/>
  <c r="AQ2" i="7"/>
  <c r="A132" i="6"/>
  <c r="AT17" i="8" l="1"/>
  <c r="AT16" i="8"/>
  <c r="AT15" i="8"/>
  <c r="AS17" i="8"/>
  <c r="AS16" i="8"/>
  <c r="AS15" i="8"/>
  <c r="AT8" i="8"/>
  <c r="AS11" i="8"/>
  <c r="AS8" i="8"/>
  <c r="AT9" i="8"/>
  <c r="AT10" i="8"/>
  <c r="AS10" i="8"/>
  <c r="AS9" i="8"/>
  <c r="AT11" i="8"/>
  <c r="AU5" i="8"/>
  <c r="AU2" i="8"/>
  <c r="AV4" i="8"/>
  <c r="AR5" i="7"/>
  <c r="AS4" i="7"/>
  <c r="AR2" i="7"/>
  <c r="A133" i="6"/>
  <c r="AT18" i="8" l="1"/>
  <c r="AT12" i="8"/>
  <c r="AV5" i="8"/>
  <c r="AV3" i="8" s="1"/>
  <c r="AV2" i="8"/>
  <c r="AW4" i="8"/>
  <c r="AS2" i="7"/>
  <c r="AS5" i="7"/>
  <c r="AT4" i="7"/>
  <c r="A134" i="6"/>
  <c r="AV9" i="8" l="1"/>
  <c r="AV17" i="8"/>
  <c r="AV16" i="8"/>
  <c r="AV15" i="8"/>
  <c r="AU17" i="8"/>
  <c r="AU16" i="8"/>
  <c r="AU15" i="8"/>
  <c r="AU10" i="8"/>
  <c r="AU11" i="8"/>
  <c r="AU8" i="8"/>
  <c r="AV8" i="8"/>
  <c r="AV10" i="8"/>
  <c r="AU9" i="8"/>
  <c r="AV11" i="8"/>
  <c r="AW5" i="8"/>
  <c r="AX4" i="8"/>
  <c r="AW2" i="8"/>
  <c r="AT2" i="7"/>
  <c r="AT5" i="7"/>
  <c r="AU4" i="7"/>
  <c r="A135" i="6"/>
  <c r="AV18" i="8" l="1"/>
  <c r="AV12" i="8"/>
  <c r="AY4" i="8"/>
  <c r="AX5" i="8"/>
  <c r="AX3" i="8" s="1"/>
  <c r="AX2" i="8"/>
  <c r="AU5" i="7"/>
  <c r="AV4" i="7"/>
  <c r="AU2" i="7"/>
  <c r="A136" i="6"/>
  <c r="AX17" i="8" l="1"/>
  <c r="AX16" i="8"/>
  <c r="AX15" i="8"/>
  <c r="AW17" i="8"/>
  <c r="AW16" i="8"/>
  <c r="AW15" i="8"/>
  <c r="AX8" i="8"/>
  <c r="AW11" i="8"/>
  <c r="AW8" i="8"/>
  <c r="AX9" i="8"/>
  <c r="AX10" i="8"/>
  <c r="AW10" i="8"/>
  <c r="AW9" i="8"/>
  <c r="AX11" i="8"/>
  <c r="AY5" i="8"/>
  <c r="AY2" i="8"/>
  <c r="AZ4" i="8"/>
  <c r="AV2" i="7"/>
  <c r="AV5" i="7"/>
  <c r="AW4" i="7"/>
  <c r="A137" i="6"/>
  <c r="AX18" i="8" l="1"/>
  <c r="AX12" i="8"/>
  <c r="AZ5" i="8"/>
  <c r="AZ3" i="8" s="1"/>
  <c r="AZ2" i="8"/>
  <c r="AW2" i="7"/>
  <c r="AW5" i="7"/>
  <c r="AX4" i="7"/>
  <c r="A138" i="6"/>
  <c r="AZ9" i="8" l="1"/>
  <c r="AZ17" i="8"/>
  <c r="AZ16" i="8"/>
  <c r="AZ15" i="8"/>
  <c r="AY17" i="8"/>
  <c r="AY16" i="8"/>
  <c r="AY15" i="8"/>
  <c r="AZ8" i="8"/>
  <c r="AY11" i="8"/>
  <c r="AY8" i="8"/>
  <c r="AZ10" i="8"/>
  <c r="AY9" i="8"/>
  <c r="AZ11" i="8"/>
  <c r="AY10" i="8"/>
  <c r="AX2" i="7"/>
  <c r="AX5" i="7"/>
  <c r="AY4" i="7"/>
  <c r="A139" i="6"/>
  <c r="AZ12" i="8" l="1"/>
  <c r="AZ18" i="8"/>
  <c r="AY5" i="7"/>
  <c r="AY2" i="7"/>
  <c r="A140" i="6"/>
  <c r="A141" i="6" l="1"/>
  <c r="A142" i="6" l="1"/>
  <c r="A143" i="6" l="1"/>
  <c r="A144" i="6" l="1"/>
  <c r="A145" i="6" l="1"/>
  <c r="A146" i="6" l="1"/>
  <c r="A147" i="6" l="1"/>
  <c r="A148" i="6" l="1"/>
  <c r="A149" i="6" l="1"/>
  <c r="A150" i="6" l="1"/>
  <c r="A151" i="6" l="1"/>
  <c r="A152" i="6" l="1"/>
  <c r="A153" i="6" l="1"/>
  <c r="A154" i="6" l="1"/>
  <c r="A155" i="6" l="1"/>
  <c r="A156" i="6" l="1"/>
  <c r="A157" i="6" l="1"/>
  <c r="A158" i="6" l="1"/>
  <c r="A159" i="6" l="1"/>
  <c r="A160" i="6" l="1"/>
  <c r="A161" i="6" l="1"/>
  <c r="A162" i="6" l="1"/>
  <c r="A163" i="6" l="1"/>
  <c r="A164" i="6" l="1"/>
  <c r="A165" i="6" l="1"/>
  <c r="A166" i="6" l="1"/>
  <c r="A167" i="6" l="1"/>
  <c r="A168" i="6" l="1"/>
  <c r="A169" i="6" l="1"/>
  <c r="A170" i="6" l="1"/>
  <c r="A171" i="6" l="1"/>
  <c r="A172" i="6" l="1"/>
  <c r="A173" i="6" l="1"/>
  <c r="A174" i="6" l="1"/>
  <c r="A175" i="6" l="1"/>
  <c r="A176" i="6" l="1"/>
  <c r="A177" i="6" l="1"/>
  <c r="A178" i="6" l="1"/>
  <c r="A179" i="6" l="1"/>
  <c r="A180" i="6" l="1"/>
  <c r="A181" i="6" l="1"/>
  <c r="A182" i="6" l="1"/>
  <c r="A183" i="6" l="1"/>
  <c r="A184" i="6" l="1"/>
  <c r="A185" i="6" l="1"/>
  <c r="A186" i="6" l="1"/>
  <c r="A187" i="6" l="1"/>
  <c r="A188" i="6" l="1"/>
  <c r="A19" i="6" l="1"/>
  <c r="B26" i="6" s="1"/>
  <c r="B25" i="6"/>
  <c r="A25" i="6"/>
  <c r="B24" i="6"/>
  <c r="B3" i="6"/>
  <c r="A5" i="6"/>
  <c r="A10" i="6" s="1"/>
  <c r="B22" i="6"/>
  <c r="A22" i="6"/>
  <c r="BB3" i="6"/>
  <c r="BD3" i="6" s="1"/>
  <c r="BF3" i="6" s="1"/>
  <c r="BH3" i="6" s="1"/>
  <c r="BJ3" i="6" s="1"/>
  <c r="BL3" i="6" s="1"/>
  <c r="BN3" i="6" s="1"/>
  <c r="BP3" i="6" s="1"/>
  <c r="BR3" i="6" s="1"/>
  <c r="BT3" i="6" s="1"/>
  <c r="BV3" i="6" s="1"/>
  <c r="BX3" i="6" s="1"/>
  <c r="BZ3" i="6" s="1"/>
  <c r="CB3" i="6" s="1"/>
  <c r="CD3" i="6" s="1"/>
  <c r="CF3" i="6" s="1"/>
  <c r="AZ3" i="6"/>
  <c r="BJ128" i="6"/>
  <c r="BI128" i="6"/>
  <c r="BJ127" i="6"/>
  <c r="BI127" i="6"/>
  <c r="BJ126" i="6"/>
  <c r="BI126" i="6"/>
  <c r="BJ125" i="6"/>
  <c r="BI125" i="6"/>
  <c r="BJ124" i="6"/>
  <c r="BI124" i="6"/>
  <c r="BJ123" i="6"/>
  <c r="BI123" i="6"/>
  <c r="BJ122" i="6"/>
  <c r="BI122" i="6"/>
  <c r="BJ121" i="6"/>
  <c r="BI121" i="6"/>
  <c r="BJ120" i="6"/>
  <c r="BI120" i="6"/>
  <c r="BJ119" i="6"/>
  <c r="BI119" i="6"/>
  <c r="BJ118" i="6"/>
  <c r="BI118" i="6"/>
  <c r="BJ117" i="6"/>
  <c r="BI117" i="6"/>
  <c r="BJ116" i="6"/>
  <c r="BI116" i="6"/>
  <c r="BJ115" i="6"/>
  <c r="BI115" i="6"/>
  <c r="BJ114" i="6"/>
  <c r="BI114" i="6"/>
  <c r="BJ113" i="6"/>
  <c r="BI113" i="6"/>
  <c r="BJ112" i="6"/>
  <c r="BI112" i="6"/>
  <c r="BJ111" i="6"/>
  <c r="BI111" i="6"/>
  <c r="BJ110" i="6"/>
  <c r="BI110" i="6"/>
  <c r="BJ109" i="6"/>
  <c r="BI109" i="6"/>
  <c r="BJ108" i="6"/>
  <c r="BI108" i="6"/>
  <c r="BJ107" i="6"/>
  <c r="BI107" i="6"/>
  <c r="BJ106" i="6"/>
  <c r="BI106" i="6"/>
  <c r="BJ105" i="6"/>
  <c r="BI105" i="6"/>
  <c r="BJ104" i="6"/>
  <c r="BI104" i="6"/>
  <c r="BJ103" i="6"/>
  <c r="BI103" i="6"/>
  <c r="BJ102" i="6"/>
  <c r="BI102" i="6"/>
  <c r="BJ101" i="6"/>
  <c r="BI101" i="6"/>
  <c r="BJ100" i="6"/>
  <c r="BI100" i="6"/>
  <c r="BJ99" i="6"/>
  <c r="BI99" i="6"/>
  <c r="BJ98" i="6"/>
  <c r="BI98" i="6"/>
  <c r="BJ97" i="6"/>
  <c r="BI97" i="6"/>
  <c r="BJ96" i="6"/>
  <c r="BI96" i="6"/>
  <c r="BJ95" i="6"/>
  <c r="BI95" i="6"/>
  <c r="BJ94" i="6"/>
  <c r="BI94" i="6"/>
  <c r="BJ93" i="6"/>
  <c r="BI93" i="6"/>
  <c r="BJ92" i="6"/>
  <c r="BI92" i="6"/>
  <c r="BJ91" i="6"/>
  <c r="BI91" i="6"/>
  <c r="BJ90" i="6"/>
  <c r="BI90" i="6"/>
  <c r="BJ89" i="6"/>
  <c r="BI89" i="6"/>
  <c r="BJ88" i="6"/>
  <c r="BI88" i="6"/>
  <c r="BJ87" i="6"/>
  <c r="BI87" i="6"/>
  <c r="BJ86" i="6"/>
  <c r="BI86" i="6"/>
  <c r="BJ85" i="6"/>
  <c r="BI85" i="6"/>
  <c r="BJ84" i="6"/>
  <c r="BI84" i="6"/>
  <c r="BJ83" i="6"/>
  <c r="BI83" i="6"/>
  <c r="BJ82" i="6"/>
  <c r="BI82" i="6"/>
  <c r="BJ81" i="6"/>
  <c r="BI81" i="6"/>
  <c r="BJ80" i="6"/>
  <c r="BI80" i="6"/>
  <c r="BJ79" i="6"/>
  <c r="BI79" i="6"/>
  <c r="BJ78" i="6"/>
  <c r="BI78" i="6"/>
  <c r="BJ77" i="6"/>
  <c r="BI77" i="6"/>
  <c r="BJ76" i="6"/>
  <c r="BI76" i="6"/>
  <c r="BJ75" i="6"/>
  <c r="BI75" i="6"/>
  <c r="BJ74" i="6"/>
  <c r="BI74" i="6"/>
  <c r="BJ73" i="6"/>
  <c r="BI73" i="6"/>
  <c r="BJ72" i="6"/>
  <c r="BI72" i="6"/>
  <c r="BJ71" i="6"/>
  <c r="BI71" i="6"/>
  <c r="BJ70" i="6"/>
  <c r="BI70" i="6"/>
  <c r="BJ69" i="6"/>
  <c r="BI69" i="6"/>
  <c r="BJ68" i="6"/>
  <c r="BI68" i="6"/>
  <c r="BJ67" i="6"/>
  <c r="BI67" i="6"/>
  <c r="BJ66" i="6"/>
  <c r="BI66" i="6"/>
  <c r="BJ65" i="6"/>
  <c r="BI65" i="6"/>
  <c r="BJ64" i="6"/>
  <c r="BI64" i="6"/>
  <c r="BJ63" i="6"/>
  <c r="BI63" i="6"/>
  <c r="BJ62" i="6"/>
  <c r="BI62" i="6"/>
  <c r="BJ61" i="6"/>
  <c r="BI61" i="6"/>
  <c r="BJ60" i="6"/>
  <c r="BI60" i="6"/>
  <c r="BJ59" i="6"/>
  <c r="BI59" i="6"/>
  <c r="BJ58" i="6"/>
  <c r="BI58" i="6"/>
  <c r="BJ57" i="6"/>
  <c r="BI57" i="6"/>
  <c r="BJ56" i="6"/>
  <c r="BI56" i="6"/>
  <c r="BH58" i="6"/>
  <c r="BH57" i="6"/>
  <c r="AW4" i="6" l="1"/>
  <c r="AX4" i="6" s="1"/>
  <c r="AY4" i="6" s="1"/>
  <c r="AZ4" i="6" s="1"/>
  <c r="BA4" i="6" s="1"/>
  <c r="BB4" i="6" s="1"/>
  <c r="BC4" i="6" s="1"/>
  <c r="BD4" i="6" s="1"/>
  <c r="BE4" i="6" s="1"/>
  <c r="BF4" i="6" s="1"/>
  <c r="BG4" i="6" s="1"/>
  <c r="BH4" i="6" s="1"/>
  <c r="BI4" i="6" s="1"/>
  <c r="BJ4" i="6" s="1"/>
  <c r="BK4" i="6" s="1"/>
  <c r="BL4" i="6" s="1"/>
  <c r="BM4" i="6" s="1"/>
  <c r="BN4" i="6" s="1"/>
  <c r="BO4" i="6" s="1"/>
  <c r="BP4" i="6" s="1"/>
  <c r="BQ4" i="6" s="1"/>
  <c r="BR4" i="6" s="1"/>
  <c r="BS4" i="6" s="1"/>
  <c r="BT4" i="6" s="1"/>
  <c r="BU4" i="6" s="1"/>
  <c r="BV4" i="6" s="1"/>
  <c r="BW4" i="6" s="1"/>
  <c r="BX4" i="6" s="1"/>
  <c r="BY4" i="6" s="1"/>
  <c r="BZ4" i="6" s="1"/>
  <c r="CA4" i="6" s="1"/>
  <c r="CB4" i="6" s="1"/>
  <c r="CC4" i="6" s="1"/>
  <c r="CD4" i="6" s="1"/>
  <c r="CE4" i="6" s="1"/>
  <c r="CF4" i="6" s="1"/>
  <c r="CG4" i="6" s="1"/>
  <c r="A26" i="6"/>
  <c r="A27" i="6"/>
  <c r="B27" i="6"/>
  <c r="B28" i="6" s="1"/>
  <c r="A11" i="6"/>
  <c r="BH59" i="6"/>
  <c r="B13" i="6" l="1"/>
  <c r="B14" i="6"/>
  <c r="A16" i="6"/>
  <c r="A14" i="6"/>
  <c r="B16" i="6"/>
  <c r="BH60" i="6"/>
  <c r="B17" i="6" l="1"/>
  <c r="BH61" i="6"/>
  <c r="BH62" i="6" l="1"/>
  <c r="BH63" i="6" l="1"/>
  <c r="BH64" i="6" l="1"/>
  <c r="BH65" i="6" l="1"/>
  <c r="BH66" i="6" l="1"/>
  <c r="BH67" i="6" l="1"/>
  <c r="BH68" i="6" l="1"/>
  <c r="BH69" i="6" l="1"/>
  <c r="BH70" i="6" l="1"/>
  <c r="BH71" i="6" l="1"/>
  <c r="BH72" i="6" l="1"/>
  <c r="BH73" i="6" l="1"/>
  <c r="BH74" i="6" l="1"/>
  <c r="BH75" i="6" l="1"/>
  <c r="BH76" i="6" l="1"/>
  <c r="BH77" i="6" l="1"/>
  <c r="BH78" i="6" l="1"/>
  <c r="BH79" i="6" l="1"/>
  <c r="BH80" i="6" l="1"/>
  <c r="BH81" i="6" l="1"/>
  <c r="BH82" i="6" l="1"/>
  <c r="BH83" i="6" l="1"/>
  <c r="BH84" i="6" l="1"/>
  <c r="BH85" i="6" l="1"/>
  <c r="BH86" i="6" l="1"/>
  <c r="BH87" i="6" l="1"/>
  <c r="BH88" i="6" l="1"/>
  <c r="BH89" i="6" l="1"/>
  <c r="BH90" i="6" l="1"/>
  <c r="BH91" i="6" l="1"/>
  <c r="BH92" i="6" l="1"/>
  <c r="BH93" i="6" l="1"/>
  <c r="BH94" i="6" l="1"/>
  <c r="BH95" i="6" l="1"/>
  <c r="BH96" i="6" l="1"/>
  <c r="BH97" i="6" l="1"/>
  <c r="BH98" i="6" l="1"/>
  <c r="BH99" i="6" l="1"/>
  <c r="BH100" i="6" l="1"/>
  <c r="BH101" i="6" l="1"/>
  <c r="BH102" i="6" l="1"/>
  <c r="BH103" i="6" l="1"/>
  <c r="BH104" i="6" l="1"/>
  <c r="BH105" i="6" l="1"/>
  <c r="BH106" i="6" l="1"/>
  <c r="BH107" i="6" l="1"/>
  <c r="BH108" i="6" l="1"/>
  <c r="BH109" i="6" l="1"/>
  <c r="BH110" i="6" l="1"/>
  <c r="BH111" i="6" l="1"/>
  <c r="BH112" i="6" l="1"/>
  <c r="BH113" i="6" l="1"/>
  <c r="BH114" i="6" l="1"/>
  <c r="BH115" i="6" l="1"/>
  <c r="BH116" i="6" l="1"/>
  <c r="BH117" i="6" l="1"/>
  <c r="BH118" i="6" l="1"/>
  <c r="BH119" i="6" l="1"/>
  <c r="BH120" i="6" l="1"/>
  <c r="BH121" i="6" l="1"/>
  <c r="BH122" i="6" l="1"/>
  <c r="BH123" i="6" l="1"/>
  <c r="BH124" i="6" l="1"/>
  <c r="BH125" i="6" l="1"/>
  <c r="BH126" i="6" l="1"/>
  <c r="BH127" i="6" l="1"/>
  <c r="BH128" i="6" l="1"/>
  <c r="AX5" i="6" l="1"/>
  <c r="AW5" i="6"/>
  <c r="D56" i="2"/>
  <c r="AY7" i="6" l="1"/>
  <c r="AY8" i="6"/>
  <c r="AX8" i="6"/>
  <c r="AW2" i="6"/>
  <c r="AX2" i="6"/>
  <c r="AY2" i="6"/>
  <c r="AY5" i="6"/>
  <c r="AZ2" i="6"/>
  <c r="AY10" i="6" l="1"/>
  <c r="AY9" i="6"/>
  <c r="AX10" i="6"/>
  <c r="AY11" i="6" s="1"/>
  <c r="AX9" i="6"/>
  <c r="BA2" i="6"/>
  <c r="AZ5" i="6"/>
  <c r="BA10" i="6" s="1"/>
  <c r="AZ9" i="6" l="1"/>
  <c r="BA8" i="6"/>
  <c r="BA7" i="6"/>
  <c r="AZ8" i="6"/>
  <c r="AZ10" i="6"/>
  <c r="BA9" i="6"/>
  <c r="BB2" i="6"/>
  <c r="BA5" i="6"/>
  <c r="BA11" i="6" l="1"/>
  <c r="BB5" i="6"/>
  <c r="BC9" i="6" s="1"/>
  <c r="BC2" i="6"/>
  <c r="BB10" i="6" l="1"/>
  <c r="BB9" i="6"/>
  <c r="BC8" i="6"/>
  <c r="BC7" i="6"/>
  <c r="BB8" i="6"/>
  <c r="BC10" i="6"/>
  <c r="BC11" i="6" s="1"/>
  <c r="BC5" i="6"/>
  <c r="BD2" i="6"/>
  <c r="BE2" i="6" l="1"/>
  <c r="BD5" i="6"/>
  <c r="BD9" i="6" s="1"/>
  <c r="BE10" i="6" l="1"/>
  <c r="BE9" i="6"/>
  <c r="BE8" i="6"/>
  <c r="BD8" i="6"/>
  <c r="BE7" i="6"/>
  <c r="BD10" i="6"/>
  <c r="BF2" i="6"/>
  <c r="BE5" i="6"/>
  <c r="BE11" i="6" l="1"/>
  <c r="BG2" i="6"/>
  <c r="BF5" i="6"/>
  <c r="BG8" i="6" l="1"/>
  <c r="BG7" i="6"/>
  <c r="BF8" i="6"/>
  <c r="BF10" i="6"/>
  <c r="BF9" i="6"/>
  <c r="BG9" i="6"/>
  <c r="BG10" i="6"/>
  <c r="BG5" i="6"/>
  <c r="BH2" i="6"/>
  <c r="BG11" i="6" l="1"/>
  <c r="BH5" i="6"/>
  <c r="BI10" i="6" s="1"/>
  <c r="BI2" i="6"/>
  <c r="BH9" i="6" l="1"/>
  <c r="BI9" i="6"/>
  <c r="BI8" i="6"/>
  <c r="BI7" i="6"/>
  <c r="BH8" i="6"/>
  <c r="BH10" i="6"/>
  <c r="BJ2" i="6"/>
  <c r="BI5" i="6"/>
  <c r="BI11" i="6" l="1"/>
  <c r="BK2" i="6"/>
  <c r="BJ5" i="6"/>
  <c r="BJ10" i="6" s="1"/>
  <c r="BJ9" i="6" l="1"/>
  <c r="BK8" i="6"/>
  <c r="BK7" i="6"/>
  <c r="BJ8" i="6"/>
  <c r="BK9" i="6"/>
  <c r="BK10" i="6"/>
  <c r="BK5" i="6"/>
  <c r="BL2" i="6"/>
  <c r="BK11" i="6" l="1"/>
  <c r="BM2" i="6"/>
  <c r="BL5" i="6"/>
  <c r="BM9" i="6" s="1"/>
  <c r="BL9" i="6" l="1"/>
  <c r="BM8" i="6"/>
  <c r="BL8" i="6"/>
  <c r="BM7" i="6"/>
  <c r="BM10" i="6"/>
  <c r="BL10" i="6"/>
  <c r="BM5" i="6"/>
  <c r="BN2" i="6"/>
  <c r="BM11" i="6" l="1"/>
  <c r="BO2" i="6"/>
  <c r="BN5" i="6"/>
  <c r="BO10" i="6" s="1"/>
  <c r="BN10" i="6" l="1"/>
  <c r="BO8" i="6"/>
  <c r="BO7" i="6"/>
  <c r="BN8" i="6"/>
  <c r="BN9" i="6"/>
  <c r="BO9" i="6"/>
  <c r="BO5" i="6"/>
  <c r="BP2" i="6"/>
  <c r="BO11" i="6" l="1"/>
  <c r="BQ2" i="6"/>
  <c r="BP5" i="6"/>
  <c r="BQ9" i="6" s="1"/>
  <c r="BP10" i="6" l="1"/>
  <c r="BQ8" i="6"/>
  <c r="BQ7" i="6"/>
  <c r="BP8" i="6"/>
  <c r="BQ10" i="6"/>
  <c r="BP9" i="6"/>
  <c r="BR2" i="6"/>
  <c r="BQ5" i="6"/>
  <c r="BR5" i="6" l="1"/>
  <c r="BS2" i="6"/>
  <c r="BQ11" i="6"/>
  <c r="BS8" i="6" l="1"/>
  <c r="BR8" i="6"/>
  <c r="BS7" i="6"/>
  <c r="BR9" i="6"/>
  <c r="BS10" i="6"/>
  <c r="BR10" i="6"/>
  <c r="BS9" i="6"/>
  <c r="BS5" i="6"/>
  <c r="BT2" i="6"/>
  <c r="BS11" i="6" l="1"/>
  <c r="BU2" i="6"/>
  <c r="BT5" i="6"/>
  <c r="BT9" i="6" s="1"/>
  <c r="BU9" i="6" l="1"/>
  <c r="BU10" i="6"/>
  <c r="BU8" i="6"/>
  <c r="BT8" i="6"/>
  <c r="BU7" i="6"/>
  <c r="BT10" i="6"/>
  <c r="BV2" i="6"/>
  <c r="BU5" i="6"/>
  <c r="BU11" i="6" l="1"/>
  <c r="BW2" i="6"/>
  <c r="BV5" i="6"/>
  <c r="BV10" i="6" s="1"/>
  <c r="BV9" i="6" l="1"/>
  <c r="BW9" i="6"/>
  <c r="BW8" i="6"/>
  <c r="BW7" i="6"/>
  <c r="BV8" i="6"/>
  <c r="BW10" i="6"/>
  <c r="BW5" i="6"/>
  <c r="BX2" i="6"/>
  <c r="BX5" i="6" l="1"/>
  <c r="BY2" i="6"/>
  <c r="BW11" i="6"/>
  <c r="BY8" i="6" l="1"/>
  <c r="BY7" i="6"/>
  <c r="BX8" i="6"/>
  <c r="BX9" i="6"/>
  <c r="BY10" i="6"/>
  <c r="BY9" i="6"/>
  <c r="BX10" i="6"/>
  <c r="BZ2" i="6"/>
  <c r="BY5" i="6"/>
  <c r="BY11" i="6" l="1"/>
  <c r="CA2" i="6"/>
  <c r="BZ5" i="6"/>
  <c r="BZ10" i="6" s="1"/>
  <c r="CA10" i="6" l="1"/>
  <c r="BZ9" i="6"/>
  <c r="CA8" i="6"/>
  <c r="CA7" i="6"/>
  <c r="BZ8" i="6"/>
  <c r="CA9" i="6"/>
  <c r="CA5" i="6"/>
  <c r="CB2" i="6"/>
  <c r="CC2" i="6" l="1"/>
  <c r="CB5" i="6"/>
  <c r="CB9" i="6" s="1"/>
  <c r="CA11" i="6"/>
  <c r="CC9" i="6" l="1"/>
  <c r="CC8" i="6"/>
  <c r="CB8" i="6"/>
  <c r="CC7" i="6"/>
  <c r="CB10" i="6"/>
  <c r="CC10" i="6"/>
  <c r="CC5" i="6"/>
  <c r="CD2" i="6"/>
  <c r="CC11" i="6" l="1"/>
  <c r="CE2" i="6"/>
  <c r="CD5" i="6"/>
  <c r="CD10" i="6" s="1"/>
  <c r="CE9" i="6" l="1"/>
  <c r="CE7" i="6"/>
  <c r="CE8" i="6"/>
  <c r="CD8" i="6"/>
  <c r="CD9" i="6"/>
  <c r="CE10" i="6"/>
  <c r="CE5" i="6"/>
  <c r="CF2" i="6"/>
  <c r="CG2" i="6" l="1"/>
  <c r="CF5" i="6"/>
  <c r="CG9" i="6" s="1"/>
  <c r="CE11" i="6"/>
  <c r="CG8" i="6" l="1"/>
  <c r="CG7" i="6"/>
  <c r="CF8" i="6"/>
  <c r="CF9" i="6"/>
  <c r="CG10" i="6"/>
  <c r="CF10" i="6"/>
  <c r="CG5" i="6"/>
  <c r="CG11" i="6" l="1"/>
  <c r="D71" i="2" l="1"/>
  <c r="D65" i="2"/>
  <c r="D70" i="2"/>
  <c r="D64" i="2"/>
  <c r="B66" i="2"/>
  <c r="B63" i="2"/>
  <c r="B42" i="2"/>
  <c r="AV210" i="2" l="1"/>
  <c r="AU210" i="2"/>
  <c r="AT210" i="2"/>
  <c r="AS210" i="2"/>
  <c r="AV209" i="2"/>
  <c r="AU209" i="2"/>
  <c r="AT209" i="2"/>
  <c r="AS209" i="2"/>
  <c r="AV208" i="2"/>
  <c r="AU208" i="2"/>
  <c r="AT208" i="2"/>
  <c r="AS208" i="2"/>
  <c r="AV207" i="2"/>
  <c r="AU207" i="2"/>
  <c r="AT207" i="2"/>
  <c r="AS207" i="2"/>
  <c r="AV206" i="2"/>
  <c r="AU206" i="2"/>
  <c r="AT206" i="2"/>
  <c r="AS206" i="2"/>
  <c r="AV205" i="2"/>
  <c r="AU205" i="2"/>
  <c r="AT205" i="2"/>
  <c r="AS205" i="2"/>
  <c r="AV204" i="2"/>
  <c r="AU204" i="2"/>
  <c r="AT204" i="2"/>
  <c r="AS204" i="2"/>
  <c r="AV203" i="2"/>
  <c r="AU203" i="2"/>
  <c r="AT203" i="2"/>
  <c r="AS203" i="2"/>
  <c r="AV202" i="2"/>
  <c r="AU202" i="2"/>
  <c r="AT202" i="2"/>
  <c r="AS202" i="2"/>
  <c r="AV201" i="2"/>
  <c r="AU201" i="2"/>
  <c r="AT201" i="2"/>
  <c r="AS201" i="2"/>
  <c r="AV200" i="2"/>
  <c r="AU200" i="2"/>
  <c r="AT200" i="2"/>
  <c r="AS200" i="2"/>
  <c r="AV199" i="2"/>
  <c r="AU199" i="2"/>
  <c r="AT199" i="2"/>
  <c r="AS199" i="2"/>
  <c r="AV198" i="2"/>
  <c r="AU198" i="2"/>
  <c r="AT198" i="2"/>
  <c r="AS198" i="2"/>
  <c r="AV197" i="2"/>
  <c r="AU197" i="2"/>
  <c r="AT197" i="2"/>
  <c r="AS197" i="2"/>
  <c r="AV196" i="2"/>
  <c r="AU196" i="2"/>
  <c r="AT196" i="2"/>
  <c r="AS196" i="2"/>
  <c r="AV195" i="2"/>
  <c r="AU195" i="2"/>
  <c r="AT195" i="2"/>
  <c r="AS195" i="2"/>
  <c r="AV194" i="2"/>
  <c r="AU194" i="2"/>
  <c r="AT194" i="2"/>
  <c r="AS194" i="2"/>
  <c r="AV193" i="2"/>
  <c r="AU193" i="2"/>
  <c r="AT193" i="2"/>
  <c r="AS193" i="2"/>
  <c r="AV192" i="2"/>
  <c r="AU192" i="2"/>
  <c r="AT192" i="2"/>
  <c r="AS192" i="2"/>
  <c r="AV191" i="2"/>
  <c r="AU191" i="2"/>
  <c r="AT191" i="2"/>
  <c r="AS191" i="2"/>
  <c r="AV190" i="2"/>
  <c r="AU190" i="2"/>
  <c r="AT190" i="2"/>
  <c r="AS190" i="2"/>
  <c r="AV189" i="2"/>
  <c r="AU189" i="2"/>
  <c r="AT189" i="2"/>
  <c r="AS189" i="2"/>
  <c r="AV188" i="2"/>
  <c r="AU188" i="2"/>
  <c r="AT188" i="2"/>
  <c r="AS188" i="2"/>
  <c r="AV187" i="2"/>
  <c r="AU187" i="2"/>
  <c r="AT187" i="2"/>
  <c r="AS187" i="2"/>
  <c r="AV186" i="2"/>
  <c r="AU186" i="2"/>
  <c r="AT186" i="2"/>
  <c r="AS186" i="2"/>
  <c r="AV185" i="2"/>
  <c r="AU185" i="2"/>
  <c r="AT185" i="2"/>
  <c r="AS185" i="2"/>
  <c r="AV184" i="2"/>
  <c r="AU184" i="2"/>
  <c r="AT184" i="2"/>
  <c r="AS184" i="2"/>
  <c r="AV183" i="2"/>
  <c r="AU183" i="2"/>
  <c r="AT183" i="2"/>
  <c r="AS183" i="2"/>
  <c r="AV182" i="2"/>
  <c r="AU182" i="2"/>
  <c r="AT182" i="2"/>
  <c r="AS182" i="2"/>
  <c r="AV181" i="2"/>
  <c r="AU181" i="2"/>
  <c r="AT181" i="2"/>
  <c r="AS181" i="2"/>
  <c r="AV180" i="2"/>
  <c r="AU180" i="2"/>
  <c r="AT180" i="2"/>
  <c r="AS180" i="2"/>
  <c r="AV179" i="2"/>
  <c r="AU179" i="2"/>
  <c r="AT179" i="2"/>
  <c r="AS179" i="2"/>
  <c r="AV178" i="2"/>
  <c r="AU178" i="2"/>
  <c r="AT178" i="2"/>
  <c r="AS178" i="2"/>
  <c r="AV177" i="2"/>
  <c r="AU177" i="2"/>
  <c r="AT177" i="2"/>
  <c r="AS177" i="2"/>
  <c r="AV176" i="2"/>
  <c r="AU176" i="2"/>
  <c r="AT176" i="2"/>
  <c r="AS176" i="2"/>
  <c r="AV175" i="2"/>
  <c r="AU175" i="2"/>
  <c r="AT175" i="2"/>
  <c r="AS175" i="2"/>
  <c r="AV174" i="2"/>
  <c r="AU174" i="2"/>
  <c r="AT174" i="2"/>
  <c r="AS174" i="2"/>
  <c r="AV173" i="2"/>
  <c r="AU173" i="2"/>
  <c r="AT173" i="2"/>
  <c r="AS173" i="2"/>
  <c r="AV172" i="2"/>
  <c r="AU172" i="2"/>
  <c r="AT172" i="2"/>
  <c r="AS172" i="2"/>
  <c r="AV171" i="2"/>
  <c r="AU171" i="2"/>
  <c r="AT171" i="2"/>
  <c r="AS171" i="2"/>
  <c r="AV170" i="2"/>
  <c r="AU170" i="2"/>
  <c r="AT170" i="2"/>
  <c r="AS170" i="2"/>
  <c r="AV169" i="2"/>
  <c r="AU169" i="2"/>
  <c r="AT169" i="2"/>
  <c r="AS169" i="2"/>
  <c r="AV168" i="2"/>
  <c r="AU168" i="2"/>
  <c r="AT168" i="2"/>
  <c r="AS168" i="2"/>
  <c r="AV167" i="2"/>
  <c r="AU167" i="2"/>
  <c r="AT167" i="2"/>
  <c r="AS167" i="2"/>
  <c r="AV166" i="2"/>
  <c r="AU166" i="2"/>
  <c r="AT166" i="2"/>
  <c r="AS166" i="2"/>
  <c r="AV165" i="2"/>
  <c r="AU165" i="2"/>
  <c r="AT165" i="2"/>
  <c r="AS165" i="2"/>
  <c r="AV164" i="2"/>
  <c r="AU164" i="2"/>
  <c r="AT164" i="2"/>
  <c r="AS164" i="2"/>
  <c r="AV163" i="2"/>
  <c r="AU163" i="2"/>
  <c r="AT163" i="2"/>
  <c r="AS163" i="2"/>
  <c r="AV162" i="2"/>
  <c r="AU162" i="2"/>
  <c r="AT162" i="2"/>
  <c r="AS162" i="2"/>
  <c r="AV161" i="2"/>
  <c r="AU161" i="2"/>
  <c r="AT161" i="2"/>
  <c r="AS161" i="2"/>
  <c r="AV160" i="2"/>
  <c r="AU160" i="2"/>
  <c r="AT160" i="2"/>
  <c r="AS160" i="2"/>
  <c r="AV159" i="2"/>
  <c r="AU159" i="2"/>
  <c r="AT159" i="2"/>
  <c r="AS159" i="2"/>
  <c r="AV158" i="2"/>
  <c r="AU158" i="2"/>
  <c r="AT158" i="2"/>
  <c r="AS158" i="2"/>
  <c r="AV157" i="2"/>
  <c r="AU157" i="2"/>
  <c r="AT157" i="2"/>
  <c r="AS157" i="2"/>
  <c r="AV156" i="2"/>
  <c r="AU156" i="2"/>
  <c r="AT156" i="2"/>
  <c r="AS156" i="2"/>
  <c r="AV155" i="2"/>
  <c r="AU155" i="2"/>
  <c r="AT155" i="2"/>
  <c r="AS155" i="2"/>
  <c r="AV154" i="2"/>
  <c r="AU154" i="2"/>
  <c r="AT154" i="2"/>
  <c r="AS154" i="2"/>
  <c r="AV153" i="2"/>
  <c r="AU153" i="2"/>
  <c r="AT153" i="2"/>
  <c r="AS153" i="2"/>
  <c r="AV152" i="2"/>
  <c r="AU152" i="2"/>
  <c r="AT152" i="2"/>
  <c r="AS152" i="2"/>
  <c r="AV151" i="2"/>
  <c r="AU151" i="2"/>
  <c r="AT151" i="2"/>
  <c r="AS151" i="2"/>
  <c r="AV150" i="2"/>
  <c r="AU150" i="2"/>
  <c r="AT150" i="2"/>
  <c r="AS150" i="2"/>
  <c r="AV149" i="2"/>
  <c r="AU149" i="2"/>
  <c r="AT149" i="2"/>
  <c r="AS149" i="2"/>
  <c r="AV148" i="2"/>
  <c r="AU148" i="2"/>
  <c r="AT148" i="2"/>
  <c r="AS148" i="2"/>
  <c r="AV147" i="2"/>
  <c r="AU147" i="2"/>
  <c r="AT147" i="2"/>
  <c r="AS147" i="2"/>
  <c r="AV146" i="2"/>
  <c r="AU146" i="2"/>
  <c r="AT146" i="2"/>
  <c r="AS146" i="2"/>
  <c r="AV145" i="2"/>
  <c r="AU145" i="2"/>
  <c r="AT145" i="2"/>
  <c r="AS145" i="2"/>
  <c r="AV144" i="2"/>
  <c r="AU144" i="2"/>
  <c r="AT144" i="2"/>
  <c r="AS144" i="2"/>
  <c r="AV143" i="2"/>
  <c r="AU143" i="2"/>
  <c r="AT143" i="2"/>
  <c r="AS143" i="2"/>
  <c r="AV142" i="2"/>
  <c r="AU142" i="2"/>
  <c r="AT142" i="2"/>
  <c r="AS142" i="2"/>
  <c r="AV141" i="2"/>
  <c r="AU141" i="2"/>
  <c r="AT141" i="2"/>
  <c r="AS141" i="2"/>
  <c r="AV140" i="2"/>
  <c r="AU140" i="2"/>
  <c r="AT140" i="2"/>
  <c r="AS140" i="2"/>
  <c r="AV139" i="2"/>
  <c r="AU139" i="2"/>
  <c r="AT139" i="2"/>
  <c r="AS139" i="2"/>
  <c r="AV138" i="2"/>
  <c r="AU138" i="2"/>
  <c r="AT138" i="2"/>
  <c r="AS138" i="2"/>
  <c r="AV137" i="2"/>
  <c r="AU137" i="2"/>
  <c r="AT137" i="2"/>
  <c r="AS137" i="2"/>
  <c r="AV136" i="2"/>
  <c r="AU136" i="2"/>
  <c r="AT136" i="2"/>
  <c r="AS136" i="2"/>
  <c r="AV135" i="2"/>
  <c r="AU135" i="2"/>
  <c r="AT135" i="2"/>
  <c r="AS135" i="2"/>
  <c r="AV134" i="2"/>
  <c r="AU134" i="2"/>
  <c r="AT134" i="2"/>
  <c r="AS134" i="2"/>
  <c r="AV133" i="2"/>
  <c r="AU133" i="2"/>
  <c r="AT133" i="2"/>
  <c r="AS133" i="2"/>
  <c r="AV132" i="2"/>
  <c r="AU132" i="2"/>
  <c r="AT132" i="2"/>
  <c r="AS132" i="2"/>
  <c r="AV131" i="2"/>
  <c r="AU131" i="2"/>
  <c r="AT131" i="2"/>
  <c r="AS131" i="2"/>
  <c r="AV130" i="2"/>
  <c r="AU130" i="2"/>
  <c r="AT130" i="2"/>
  <c r="AS130" i="2"/>
  <c r="AV129" i="2"/>
  <c r="AU129" i="2"/>
  <c r="AT129" i="2"/>
  <c r="AS129" i="2"/>
  <c r="AV128" i="2"/>
  <c r="AU128" i="2"/>
  <c r="AT128" i="2"/>
  <c r="AS128" i="2"/>
  <c r="AV127" i="2"/>
  <c r="AU127" i="2"/>
  <c r="AT127" i="2"/>
  <c r="AS127" i="2"/>
  <c r="AV126" i="2"/>
  <c r="AU126" i="2"/>
  <c r="AT126" i="2"/>
  <c r="AS126" i="2"/>
  <c r="AV125" i="2"/>
  <c r="AU125" i="2"/>
  <c r="AT125" i="2"/>
  <c r="AS125" i="2"/>
  <c r="AV124" i="2"/>
  <c r="AU124" i="2"/>
  <c r="AT124" i="2"/>
  <c r="AS124" i="2"/>
  <c r="AV123" i="2"/>
  <c r="AU123" i="2"/>
  <c r="AT123" i="2"/>
  <c r="AS123" i="2"/>
  <c r="AV122" i="2"/>
  <c r="AU122" i="2"/>
  <c r="AT122" i="2"/>
  <c r="AS122" i="2"/>
  <c r="AV121" i="2"/>
  <c r="AU121" i="2"/>
  <c r="AT121" i="2"/>
  <c r="AS121" i="2"/>
  <c r="AV120" i="2"/>
  <c r="AU120" i="2"/>
  <c r="AT120" i="2"/>
  <c r="AS120" i="2"/>
  <c r="AV119" i="2"/>
  <c r="AU119" i="2"/>
  <c r="AT119" i="2"/>
  <c r="AS119" i="2"/>
  <c r="AV118" i="2"/>
  <c r="AU118" i="2"/>
  <c r="AT118" i="2"/>
  <c r="AS118" i="2"/>
  <c r="AV117" i="2"/>
  <c r="AU117" i="2"/>
  <c r="AT117" i="2"/>
  <c r="AS117" i="2"/>
  <c r="AV116" i="2"/>
  <c r="AU116" i="2"/>
  <c r="AT116" i="2"/>
  <c r="AS116" i="2"/>
  <c r="AV115" i="2"/>
  <c r="AU115" i="2"/>
  <c r="AT115" i="2"/>
  <c r="AS115" i="2"/>
  <c r="AV114" i="2"/>
  <c r="AU114" i="2"/>
  <c r="AT114" i="2"/>
  <c r="AS114" i="2"/>
  <c r="AV113" i="2"/>
  <c r="AU113" i="2"/>
  <c r="AT113" i="2"/>
  <c r="AS113" i="2"/>
  <c r="AV112" i="2"/>
  <c r="AU112" i="2"/>
  <c r="AT112" i="2"/>
  <c r="AS112" i="2"/>
  <c r="AV111" i="2"/>
  <c r="AU111" i="2"/>
  <c r="AT111" i="2"/>
  <c r="AS111" i="2"/>
  <c r="AV110" i="2"/>
  <c r="AU110" i="2"/>
  <c r="AT110" i="2"/>
  <c r="AS110" i="2"/>
  <c r="AV109" i="2"/>
  <c r="AU109" i="2"/>
  <c r="AT109" i="2"/>
  <c r="AS109" i="2"/>
  <c r="AV108" i="2"/>
  <c r="AU108" i="2"/>
  <c r="AT108" i="2"/>
  <c r="AS108" i="2"/>
  <c r="AV107" i="2"/>
  <c r="AU107" i="2"/>
  <c r="AT107" i="2"/>
  <c r="AS107" i="2"/>
  <c r="AV106" i="2"/>
  <c r="AU106" i="2"/>
  <c r="AT106" i="2"/>
  <c r="AS106" i="2"/>
  <c r="AV105" i="2"/>
  <c r="AU105" i="2"/>
  <c r="AT105" i="2"/>
  <c r="AS105" i="2"/>
  <c r="AV104" i="2"/>
  <c r="AU104" i="2"/>
  <c r="AT104" i="2"/>
  <c r="AS104" i="2"/>
  <c r="AV103" i="2"/>
  <c r="AU103" i="2"/>
  <c r="AT103" i="2"/>
  <c r="AS103" i="2"/>
  <c r="AV102" i="2"/>
  <c r="AU102" i="2"/>
  <c r="AT102" i="2"/>
  <c r="AS102" i="2"/>
  <c r="AV101" i="2"/>
  <c r="AU101" i="2"/>
  <c r="AT101" i="2"/>
  <c r="AS101" i="2"/>
  <c r="AV100" i="2"/>
  <c r="AU100" i="2"/>
  <c r="AT100" i="2"/>
  <c r="AS100" i="2"/>
  <c r="AV99" i="2"/>
  <c r="AU99" i="2"/>
  <c r="AT99" i="2"/>
  <c r="AS99" i="2"/>
  <c r="AV98" i="2"/>
  <c r="AU98" i="2"/>
  <c r="AT98" i="2"/>
  <c r="AS98" i="2"/>
  <c r="AV97" i="2"/>
  <c r="AU97" i="2"/>
  <c r="AT97" i="2"/>
  <c r="AS97" i="2"/>
  <c r="AV96" i="2"/>
  <c r="AU96" i="2"/>
  <c r="AT96" i="2"/>
  <c r="AS96" i="2"/>
  <c r="AV95" i="2"/>
  <c r="AU95" i="2"/>
  <c r="AT95" i="2"/>
  <c r="AS95" i="2"/>
  <c r="AV94" i="2"/>
  <c r="AU94" i="2"/>
  <c r="AT94" i="2"/>
  <c r="AS94" i="2"/>
  <c r="AV93" i="2"/>
  <c r="AU93" i="2"/>
  <c r="AT93" i="2"/>
  <c r="AS93" i="2"/>
  <c r="AV92" i="2"/>
  <c r="AU92" i="2"/>
  <c r="AT92" i="2"/>
  <c r="AS92" i="2"/>
  <c r="AV91" i="2"/>
  <c r="AU91" i="2"/>
  <c r="AT91" i="2"/>
  <c r="AS91" i="2"/>
  <c r="AV90" i="2"/>
  <c r="AU90" i="2"/>
  <c r="AT90" i="2"/>
  <c r="AS90" i="2"/>
  <c r="AV89" i="2"/>
  <c r="AU89" i="2"/>
  <c r="AT89" i="2"/>
  <c r="AS89" i="2"/>
  <c r="AV88" i="2"/>
  <c r="AU88" i="2"/>
  <c r="AT88" i="2"/>
  <c r="AS88" i="2"/>
  <c r="AV87" i="2"/>
  <c r="AU87" i="2"/>
  <c r="AT87" i="2"/>
  <c r="AS87" i="2"/>
  <c r="AV86" i="2"/>
  <c r="AU86" i="2"/>
  <c r="AT86" i="2"/>
  <c r="AS86" i="2"/>
  <c r="AV85" i="2"/>
  <c r="AU85" i="2"/>
  <c r="AT85" i="2"/>
  <c r="AS85" i="2"/>
  <c r="AV84" i="2"/>
  <c r="AU84" i="2"/>
  <c r="AT84" i="2"/>
  <c r="AS84" i="2"/>
  <c r="AV83" i="2"/>
  <c r="AU83" i="2"/>
  <c r="AT83" i="2"/>
  <c r="AS83" i="2"/>
  <c r="AV82" i="2"/>
  <c r="AU82" i="2"/>
  <c r="AT82" i="2"/>
  <c r="AS82" i="2"/>
  <c r="AV81" i="2"/>
  <c r="AU81" i="2"/>
  <c r="AT81" i="2"/>
  <c r="AS81" i="2"/>
  <c r="AV80" i="2"/>
  <c r="AU80" i="2"/>
  <c r="AT80" i="2"/>
  <c r="AS80" i="2"/>
  <c r="AV79" i="2"/>
  <c r="AU79" i="2"/>
  <c r="AT79" i="2"/>
  <c r="AS79" i="2"/>
  <c r="AV78" i="2"/>
  <c r="AU78" i="2"/>
  <c r="AT78" i="2"/>
  <c r="AS78" i="2"/>
  <c r="AV77" i="2"/>
  <c r="AU77" i="2"/>
  <c r="AT77" i="2"/>
  <c r="AS77" i="2"/>
  <c r="AV76" i="2"/>
  <c r="AU76" i="2"/>
  <c r="AT76" i="2"/>
  <c r="AS76" i="2"/>
  <c r="AV75" i="2"/>
  <c r="AU75" i="2"/>
  <c r="AT75" i="2"/>
  <c r="AS75" i="2"/>
  <c r="AV74" i="2"/>
  <c r="AU74" i="2"/>
  <c r="AT74" i="2"/>
  <c r="AS74" i="2"/>
  <c r="AV73" i="2"/>
  <c r="AU73" i="2"/>
  <c r="AT73" i="2"/>
  <c r="AS73" i="2"/>
  <c r="AV72" i="2"/>
  <c r="AU72" i="2"/>
  <c r="AT72" i="2"/>
  <c r="AS72" i="2"/>
  <c r="AV71" i="2"/>
  <c r="AU71" i="2"/>
  <c r="AT71" i="2"/>
  <c r="AS71" i="2"/>
  <c r="I71" i="2"/>
  <c r="AV70" i="2"/>
  <c r="AU70" i="2"/>
  <c r="AT70" i="2"/>
  <c r="AS70" i="2"/>
  <c r="I70" i="2"/>
  <c r="AV69" i="2"/>
  <c r="AU69" i="2"/>
  <c r="AT69" i="2"/>
  <c r="AS69" i="2"/>
  <c r="I69" i="2"/>
  <c r="AV68" i="2"/>
  <c r="AU68" i="2"/>
  <c r="AT68" i="2"/>
  <c r="AS68" i="2"/>
  <c r="I68" i="2"/>
  <c r="AV67" i="2"/>
  <c r="AU67" i="2"/>
  <c r="AT67" i="2"/>
  <c r="AS67" i="2"/>
  <c r="I67" i="2"/>
  <c r="AV66" i="2"/>
  <c r="AU66" i="2"/>
  <c r="AT66" i="2"/>
  <c r="AS66" i="2"/>
  <c r="I66" i="2"/>
  <c r="AV65" i="2"/>
  <c r="AU65" i="2"/>
  <c r="AT65" i="2"/>
  <c r="AS65" i="2"/>
  <c r="I65" i="2"/>
  <c r="AV64" i="2"/>
  <c r="AU64" i="2"/>
  <c r="AT64" i="2"/>
  <c r="AS64" i="2"/>
  <c r="I64" i="2"/>
  <c r="AV63" i="2"/>
  <c r="AU63" i="2"/>
  <c r="AT63" i="2"/>
  <c r="AS63" i="2"/>
  <c r="I63" i="2"/>
  <c r="AV62" i="2"/>
  <c r="AU62" i="2"/>
  <c r="AT62" i="2"/>
  <c r="AS62" i="2"/>
  <c r="I62" i="2"/>
  <c r="AV61" i="2"/>
  <c r="AU61" i="2"/>
  <c r="AT61" i="2"/>
  <c r="AS61" i="2"/>
  <c r="I61" i="2"/>
  <c r="AV60" i="2"/>
  <c r="AU60" i="2"/>
  <c r="AT60" i="2"/>
  <c r="AS60" i="2"/>
  <c r="I60" i="2"/>
  <c r="AV59" i="2"/>
  <c r="AU59" i="2"/>
  <c r="AT59" i="2"/>
  <c r="AS59" i="2"/>
  <c r="I59" i="2"/>
  <c r="AV58" i="2"/>
  <c r="AU58" i="2"/>
  <c r="AT58" i="2"/>
  <c r="AS58" i="2"/>
  <c r="I58" i="2"/>
  <c r="AV57" i="2"/>
  <c r="AU57" i="2"/>
  <c r="AT57" i="2"/>
  <c r="AS57" i="2"/>
  <c r="I57" i="2"/>
  <c r="AV56" i="2"/>
  <c r="AU56" i="2"/>
  <c r="AT56" i="2"/>
  <c r="AS56" i="2"/>
  <c r="I56" i="2"/>
  <c r="AV55" i="2"/>
  <c r="AU55" i="2"/>
  <c r="AT55" i="2"/>
  <c r="AS55" i="2"/>
  <c r="I55" i="2"/>
  <c r="AV54" i="2"/>
  <c r="AU54" i="2"/>
  <c r="AT54" i="2"/>
  <c r="AS54" i="2"/>
  <c r="I54" i="2"/>
  <c r="AV53" i="2"/>
  <c r="AU53" i="2"/>
  <c r="AT53" i="2"/>
  <c r="AS53" i="2"/>
  <c r="I53" i="2"/>
  <c r="A53" i="2"/>
  <c r="AV52" i="2"/>
  <c r="AU52" i="2"/>
  <c r="AT52" i="2"/>
  <c r="AS52" i="2"/>
  <c r="I52" i="2"/>
  <c r="AV51" i="2"/>
  <c r="AU51" i="2"/>
  <c r="AT51" i="2"/>
  <c r="AS51" i="2"/>
  <c r="I51" i="2"/>
  <c r="AV50" i="2"/>
  <c r="AU50" i="2"/>
  <c r="AT50" i="2"/>
  <c r="AS50" i="2"/>
  <c r="I50" i="2"/>
  <c r="AX49" i="2"/>
  <c r="AV49" i="2"/>
  <c r="AU49" i="2"/>
  <c r="AT49" i="2"/>
  <c r="AS49" i="2"/>
  <c r="AX48" i="2"/>
  <c r="AV48" i="2"/>
  <c r="AU48" i="2"/>
  <c r="AT48" i="2"/>
  <c r="AS48" i="2"/>
  <c r="AC48" i="2"/>
  <c r="AB48" i="2"/>
  <c r="A48" i="2"/>
  <c r="AX47" i="2"/>
  <c r="AV47" i="2"/>
  <c r="AU47" i="2"/>
  <c r="AT47" i="2"/>
  <c r="AS47" i="2"/>
  <c r="AC47" i="2"/>
  <c r="AB47" i="2"/>
  <c r="AX46" i="2"/>
  <c r="AV46" i="2"/>
  <c r="AU46" i="2"/>
  <c r="AT46" i="2"/>
  <c r="AS46" i="2"/>
  <c r="AB46" i="2"/>
  <c r="AX45" i="2"/>
  <c r="AV45" i="2"/>
  <c r="AU45" i="2"/>
  <c r="AT45" i="2"/>
  <c r="AS45" i="2"/>
  <c r="B45" i="2"/>
  <c r="AX44" i="2"/>
  <c r="AV44" i="2"/>
  <c r="AU44" i="2"/>
  <c r="AT44" i="2"/>
  <c r="AS44" i="2"/>
  <c r="AC44" i="2"/>
  <c r="AB44" i="2"/>
  <c r="AX43" i="2"/>
  <c r="AV43" i="2"/>
  <c r="AU43" i="2"/>
  <c r="AT43" i="2"/>
  <c r="AS43" i="2"/>
  <c r="AC43" i="2"/>
  <c r="AB43" i="2"/>
  <c r="B43" i="2"/>
  <c r="AX42" i="2"/>
  <c r="AV42" i="2"/>
  <c r="AU42" i="2"/>
  <c r="AT42" i="2"/>
  <c r="AS42" i="2"/>
  <c r="AC42" i="2"/>
  <c r="AB42" i="2"/>
  <c r="AX41" i="2"/>
  <c r="AV41" i="2"/>
  <c r="AU41" i="2"/>
  <c r="AT41" i="2"/>
  <c r="AS41" i="2"/>
  <c r="AB41" i="2"/>
  <c r="AX40" i="2"/>
  <c r="AV40" i="2"/>
  <c r="AU40" i="2"/>
  <c r="AT40" i="2"/>
  <c r="AS40" i="2"/>
  <c r="AC40" i="2"/>
  <c r="AB40" i="2"/>
  <c r="Z40" i="2"/>
  <c r="X40" i="2"/>
  <c r="V40" i="2"/>
  <c r="T40" i="2"/>
  <c r="R40" i="2"/>
  <c r="P40" i="2"/>
  <c r="N40" i="2"/>
  <c r="L40" i="2"/>
  <c r="J40" i="2"/>
  <c r="AX39" i="2"/>
  <c r="AV39" i="2"/>
  <c r="AU39" i="2"/>
  <c r="AT39" i="2"/>
  <c r="AS39" i="2"/>
  <c r="AC39" i="2"/>
  <c r="AB39" i="2"/>
  <c r="AB70" i="2" s="1"/>
  <c r="Z39" i="2"/>
  <c r="X39" i="2"/>
  <c r="V39" i="2"/>
  <c r="T39" i="2"/>
  <c r="R39" i="2"/>
  <c r="P39" i="2"/>
  <c r="N39" i="2"/>
  <c r="L39" i="2"/>
  <c r="J39" i="2"/>
  <c r="AX38" i="2"/>
  <c r="AV38" i="2"/>
  <c r="AU38" i="2"/>
  <c r="AT38" i="2"/>
  <c r="AS38" i="2"/>
  <c r="AB38" i="2"/>
  <c r="Z38" i="2"/>
  <c r="X38" i="2"/>
  <c r="V38" i="2"/>
  <c r="T38" i="2"/>
  <c r="R38" i="2"/>
  <c r="P38" i="2"/>
  <c r="N38" i="2"/>
  <c r="L38" i="2"/>
  <c r="J38" i="2"/>
  <c r="J69" i="2" s="1"/>
  <c r="A38" i="2"/>
  <c r="D57" i="2" s="1"/>
  <c r="AX37" i="2"/>
  <c r="AV37" i="2"/>
  <c r="AU37" i="2"/>
  <c r="AT37" i="2"/>
  <c r="AS37" i="2"/>
  <c r="AX36" i="2"/>
  <c r="AV36" i="2"/>
  <c r="AU36" i="2"/>
  <c r="AT36" i="2"/>
  <c r="AS36" i="2"/>
  <c r="AB36" i="2"/>
  <c r="Z36" i="2"/>
  <c r="X36" i="2"/>
  <c r="V36" i="2"/>
  <c r="T36" i="2"/>
  <c r="R36" i="2"/>
  <c r="P36" i="2"/>
  <c r="N36" i="2"/>
  <c r="L36" i="2"/>
  <c r="J36" i="2"/>
  <c r="AX35" i="2"/>
  <c r="AV35" i="2"/>
  <c r="AU35" i="2"/>
  <c r="AT35" i="2"/>
  <c r="AS35" i="2"/>
  <c r="AX34" i="2"/>
  <c r="AV34" i="2"/>
  <c r="AU34" i="2"/>
  <c r="AT34" i="2"/>
  <c r="AS34" i="2"/>
  <c r="AX33" i="2"/>
  <c r="AV33" i="2"/>
  <c r="AU33" i="2"/>
  <c r="AT33" i="2"/>
  <c r="AS33" i="2"/>
  <c r="AB33" i="2"/>
  <c r="Z33" i="2"/>
  <c r="X33" i="2"/>
  <c r="V33" i="2"/>
  <c r="T33" i="2"/>
  <c r="R33" i="2"/>
  <c r="P33" i="2"/>
  <c r="N33" i="2"/>
  <c r="L33" i="2"/>
  <c r="J33" i="2"/>
  <c r="AX32" i="2"/>
  <c r="AV32" i="2"/>
  <c r="AU32" i="2"/>
  <c r="AT32" i="2"/>
  <c r="AS32" i="2"/>
  <c r="AX31" i="2"/>
  <c r="AV31" i="2"/>
  <c r="AU31" i="2"/>
  <c r="AT31" i="2"/>
  <c r="AS31" i="2"/>
  <c r="AX30" i="2"/>
  <c r="AV30" i="2"/>
  <c r="AU30" i="2"/>
  <c r="AT30" i="2"/>
  <c r="AS30" i="2"/>
  <c r="E30" i="2"/>
  <c r="AX29" i="2"/>
  <c r="AV29" i="2"/>
  <c r="AU29" i="2"/>
  <c r="AT29" i="2"/>
  <c r="AS29" i="2"/>
  <c r="AV28" i="2"/>
  <c r="AU28" i="2"/>
  <c r="AT28" i="2"/>
  <c r="AS28" i="2"/>
  <c r="AV27" i="2"/>
  <c r="AU27" i="2"/>
  <c r="AT27" i="2"/>
  <c r="AS27" i="2"/>
  <c r="AJ27" i="2"/>
  <c r="AC27" i="2"/>
  <c r="AB27" i="2"/>
  <c r="AV26" i="2"/>
  <c r="AU26" i="2"/>
  <c r="AT26" i="2"/>
  <c r="AS26" i="2"/>
  <c r="AC26" i="2"/>
  <c r="AB26" i="2"/>
  <c r="AV25" i="2"/>
  <c r="AU25" i="2"/>
  <c r="AT25" i="2"/>
  <c r="AS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AV24" i="2"/>
  <c r="AU24" i="2"/>
  <c r="AT24" i="2"/>
  <c r="AS24" i="2"/>
  <c r="AI24" i="2"/>
  <c r="AC24" i="2"/>
  <c r="AB24" i="2"/>
  <c r="AB28" i="2" s="1"/>
  <c r="AB29" i="2" s="1"/>
  <c r="AA24" i="2"/>
  <c r="Z24" i="2"/>
  <c r="Z34" i="2" s="1"/>
  <c r="Z35" i="2" s="1"/>
  <c r="Y24" i="2"/>
  <c r="X24" i="2"/>
  <c r="X28" i="2" s="1"/>
  <c r="X29" i="2" s="1"/>
  <c r="W24" i="2"/>
  <c r="V24" i="2"/>
  <c r="V34" i="2" s="1"/>
  <c r="V35" i="2" s="1"/>
  <c r="U24" i="2"/>
  <c r="T24" i="2"/>
  <c r="T28" i="2" s="1"/>
  <c r="T29" i="2" s="1"/>
  <c r="S24" i="2"/>
  <c r="R24" i="2"/>
  <c r="R34" i="2" s="1"/>
  <c r="R35" i="2" s="1"/>
  <c r="Q24" i="2"/>
  <c r="P24" i="2"/>
  <c r="P28" i="2" s="1"/>
  <c r="P29" i="2" s="1"/>
  <c r="O24" i="2"/>
  <c r="N24" i="2"/>
  <c r="N34" i="2" s="1"/>
  <c r="N35" i="2" s="1"/>
  <c r="M24" i="2"/>
  <c r="L24" i="2"/>
  <c r="L28" i="2" s="1"/>
  <c r="L29" i="2" s="1"/>
  <c r="K24" i="2"/>
  <c r="J24" i="2"/>
  <c r="J34" i="2" s="1"/>
  <c r="J35" i="2" s="1"/>
  <c r="AV23" i="2"/>
  <c r="AU23" i="2"/>
  <c r="AT23" i="2"/>
  <c r="AS23" i="2"/>
  <c r="AC23" i="2"/>
  <c r="AV22" i="2"/>
  <c r="AU22" i="2"/>
  <c r="AT22" i="2"/>
  <c r="AS22" i="2"/>
  <c r="AC22" i="2"/>
  <c r="AA22" i="2"/>
  <c r="Y22" i="2"/>
  <c r="W22" i="2"/>
  <c r="U22" i="2"/>
  <c r="S22" i="2"/>
  <c r="Q22" i="2"/>
  <c r="O22" i="2"/>
  <c r="M22" i="2"/>
  <c r="K22" i="2"/>
  <c r="AV21" i="2"/>
  <c r="AU21" i="2"/>
  <c r="AT21" i="2"/>
  <c r="AS21" i="2"/>
  <c r="Z21" i="2"/>
  <c r="X21" i="2"/>
  <c r="V21" i="2"/>
  <c r="T21" i="2"/>
  <c r="R21" i="2"/>
  <c r="P21" i="2"/>
  <c r="N21" i="2"/>
  <c r="O68" i="2" s="1"/>
  <c r="L21" i="2"/>
  <c r="J21" i="2"/>
  <c r="AV20" i="2"/>
  <c r="AU20" i="2"/>
  <c r="AT20" i="2"/>
  <c r="AS20" i="2"/>
  <c r="AV19" i="2"/>
  <c r="AU19" i="2"/>
  <c r="AT19" i="2"/>
  <c r="AS19" i="2"/>
  <c r="Z19" i="2"/>
  <c r="X19" i="2"/>
  <c r="V19" i="2"/>
  <c r="T19" i="2"/>
  <c r="R19" i="2"/>
  <c r="P19" i="2"/>
  <c r="N19" i="2"/>
  <c r="L19" i="2"/>
  <c r="J19" i="2"/>
  <c r="AV18" i="2"/>
  <c r="AU18" i="2"/>
  <c r="AT18" i="2"/>
  <c r="AS18" i="2"/>
  <c r="BR17" i="2"/>
  <c r="BP17" i="2"/>
  <c r="BN17" i="2"/>
  <c r="BL17" i="2"/>
  <c r="BJ17" i="2"/>
  <c r="BH17" i="2"/>
  <c r="BF17" i="2"/>
  <c r="BD17" i="2"/>
  <c r="BB17" i="2"/>
  <c r="AZ17" i="2"/>
  <c r="AV17" i="2"/>
  <c r="AU17" i="2"/>
  <c r="AT17" i="2"/>
  <c r="AS17" i="2"/>
  <c r="AV16" i="2"/>
  <c r="AU16" i="2"/>
  <c r="AT16" i="2"/>
  <c r="AS16" i="2"/>
  <c r="Z16" i="2"/>
  <c r="X16" i="2"/>
  <c r="V16" i="2"/>
  <c r="T16" i="2"/>
  <c r="R16" i="2"/>
  <c r="P16" i="2"/>
  <c r="N16" i="2"/>
  <c r="L16" i="2"/>
  <c r="J16" i="2"/>
  <c r="AV15" i="2"/>
  <c r="AU15" i="2"/>
  <c r="AT15" i="2"/>
  <c r="AS15" i="2"/>
  <c r="AH15" i="2"/>
  <c r="AV14" i="2"/>
  <c r="AU14" i="2"/>
  <c r="AT14" i="2"/>
  <c r="AS14" i="2"/>
  <c r="AV13" i="2"/>
  <c r="AU13" i="2"/>
  <c r="AT13" i="2"/>
  <c r="AS13" i="2"/>
  <c r="AV12" i="2"/>
  <c r="AU12" i="2"/>
  <c r="AT12" i="2"/>
  <c r="AS12" i="2"/>
  <c r="AH12" i="2"/>
  <c r="AV11" i="2"/>
  <c r="AU11" i="2"/>
  <c r="AT11" i="2"/>
  <c r="AS11" i="2"/>
  <c r="AV10" i="2"/>
  <c r="AU10" i="2"/>
  <c r="AT10" i="2"/>
  <c r="AJ10" i="2"/>
  <c r="AF10" i="2"/>
  <c r="AC9" i="2"/>
  <c r="AB9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AI7" i="2"/>
  <c r="AF7" i="2"/>
  <c r="AE7" i="2"/>
  <c r="AG12" i="2" s="1"/>
  <c r="AA7" i="2"/>
  <c r="Z7" i="2"/>
  <c r="Z17" i="2" s="1"/>
  <c r="Z18" i="2" s="1"/>
  <c r="Y23" i="2" s="1"/>
  <c r="Y7" i="2"/>
  <c r="X7" i="2"/>
  <c r="X17" i="2" s="1"/>
  <c r="X18" i="2" s="1"/>
  <c r="W23" i="2" s="1"/>
  <c r="W7" i="2"/>
  <c r="V7" i="2"/>
  <c r="V17" i="2" s="1"/>
  <c r="V18" i="2" s="1"/>
  <c r="U23" i="2" s="1"/>
  <c r="U7" i="2"/>
  <c r="T7" i="2"/>
  <c r="T17" i="2" s="1"/>
  <c r="T18" i="2" s="1"/>
  <c r="S23" i="2" s="1"/>
  <c r="S7" i="2"/>
  <c r="R7" i="2"/>
  <c r="R17" i="2" s="1"/>
  <c r="R18" i="2" s="1"/>
  <c r="Q23" i="2" s="1"/>
  <c r="Q7" i="2"/>
  <c r="P7" i="2"/>
  <c r="P17" i="2" s="1"/>
  <c r="P18" i="2" s="1"/>
  <c r="O23" i="2" s="1"/>
  <c r="O7" i="2"/>
  <c r="N7" i="2"/>
  <c r="N17" i="2" s="1"/>
  <c r="N18" i="2" s="1"/>
  <c r="M23" i="2" s="1"/>
  <c r="M7" i="2"/>
  <c r="L7" i="2"/>
  <c r="L17" i="2" s="1"/>
  <c r="L18" i="2" s="1"/>
  <c r="K23" i="2" s="1"/>
  <c r="K7" i="2"/>
  <c r="J7" i="2"/>
  <c r="J17" i="2" s="1"/>
  <c r="J18" i="2" s="1"/>
  <c r="AA5" i="2"/>
  <c r="Y5" i="2"/>
  <c r="AE4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K3" i="2"/>
  <c r="G3" i="2"/>
  <c r="AJ2" i="2"/>
  <c r="AK2" i="2" s="1"/>
  <c r="AK3" i="2" s="1"/>
  <c r="AE2" i="2"/>
  <c r="AA2" i="2"/>
  <c r="Y2" i="2"/>
  <c r="W2" i="2"/>
  <c r="U2" i="2"/>
  <c r="S2" i="2"/>
  <c r="Q2" i="2"/>
  <c r="O2" i="2"/>
  <c r="M2" i="2"/>
  <c r="D2" i="2"/>
  <c r="AJ1" i="2"/>
  <c r="AK4" i="2" s="1"/>
  <c r="AE1" i="2"/>
  <c r="AF1" i="2" s="1"/>
  <c r="I1" i="2"/>
  <c r="AP209" i="1"/>
  <c r="AO209" i="1"/>
  <c r="AN209" i="1"/>
  <c r="AM209" i="1"/>
  <c r="AP208" i="1"/>
  <c r="AO208" i="1"/>
  <c r="AN208" i="1"/>
  <c r="AM208" i="1"/>
  <c r="AP207" i="1"/>
  <c r="AO207" i="1"/>
  <c r="AN207" i="1"/>
  <c r="AM207" i="1"/>
  <c r="AP206" i="1"/>
  <c r="AO206" i="1"/>
  <c r="AN206" i="1"/>
  <c r="AM206" i="1"/>
  <c r="AP205" i="1"/>
  <c r="AO205" i="1"/>
  <c r="AN205" i="1"/>
  <c r="AM205" i="1"/>
  <c r="AP204" i="1"/>
  <c r="AO204" i="1"/>
  <c r="AN204" i="1"/>
  <c r="AM204" i="1"/>
  <c r="AP203" i="1"/>
  <c r="AO203" i="1"/>
  <c r="AN203" i="1"/>
  <c r="AM203" i="1"/>
  <c r="AP202" i="1"/>
  <c r="AO202" i="1"/>
  <c r="AN202" i="1"/>
  <c r="AM202" i="1"/>
  <c r="AP201" i="1"/>
  <c r="AO201" i="1"/>
  <c r="AN201" i="1"/>
  <c r="AM201" i="1"/>
  <c r="AP200" i="1"/>
  <c r="AO200" i="1"/>
  <c r="AN200" i="1"/>
  <c r="AM200" i="1"/>
  <c r="AP199" i="1"/>
  <c r="AO199" i="1"/>
  <c r="AN199" i="1"/>
  <c r="AM199" i="1"/>
  <c r="AP198" i="1"/>
  <c r="AO198" i="1"/>
  <c r="AN198" i="1"/>
  <c r="AM198" i="1"/>
  <c r="AP197" i="1"/>
  <c r="AO197" i="1"/>
  <c r="AN197" i="1"/>
  <c r="AM197" i="1"/>
  <c r="AP196" i="1"/>
  <c r="AO196" i="1"/>
  <c r="AN196" i="1"/>
  <c r="AM196" i="1"/>
  <c r="AP195" i="1"/>
  <c r="AO195" i="1"/>
  <c r="AN195" i="1"/>
  <c r="AM195" i="1"/>
  <c r="AP194" i="1"/>
  <c r="AO194" i="1"/>
  <c r="AN194" i="1"/>
  <c r="AM194" i="1"/>
  <c r="AP193" i="1"/>
  <c r="AO193" i="1"/>
  <c r="AN193" i="1"/>
  <c r="AM193" i="1"/>
  <c r="AP192" i="1"/>
  <c r="AO192" i="1"/>
  <c r="AN192" i="1"/>
  <c r="AM192" i="1"/>
  <c r="AP191" i="1"/>
  <c r="AO191" i="1"/>
  <c r="AN191" i="1"/>
  <c r="AM191" i="1"/>
  <c r="AP190" i="1"/>
  <c r="AO190" i="1"/>
  <c r="AN190" i="1"/>
  <c r="AM190" i="1"/>
  <c r="AP189" i="1"/>
  <c r="AO189" i="1"/>
  <c r="AN189" i="1"/>
  <c r="AM189" i="1"/>
  <c r="AP188" i="1"/>
  <c r="AO188" i="1"/>
  <c r="AN188" i="1"/>
  <c r="AM188" i="1"/>
  <c r="AP187" i="1"/>
  <c r="AO187" i="1"/>
  <c r="AN187" i="1"/>
  <c r="AM187" i="1"/>
  <c r="AP186" i="1"/>
  <c r="AO186" i="1"/>
  <c r="AN186" i="1"/>
  <c r="AM186" i="1"/>
  <c r="AP185" i="1"/>
  <c r="AO185" i="1"/>
  <c r="AN185" i="1"/>
  <c r="AM185" i="1"/>
  <c r="AP184" i="1"/>
  <c r="AO184" i="1"/>
  <c r="AN184" i="1"/>
  <c r="AM184" i="1"/>
  <c r="AP183" i="1"/>
  <c r="AO183" i="1"/>
  <c r="AN183" i="1"/>
  <c r="AM183" i="1"/>
  <c r="AP182" i="1"/>
  <c r="AO182" i="1"/>
  <c r="AN182" i="1"/>
  <c r="AM182" i="1"/>
  <c r="AP181" i="1"/>
  <c r="AO181" i="1"/>
  <c r="AN181" i="1"/>
  <c r="AM181" i="1"/>
  <c r="AP180" i="1"/>
  <c r="AO180" i="1"/>
  <c r="AN180" i="1"/>
  <c r="AM180" i="1"/>
  <c r="AP179" i="1"/>
  <c r="AO179" i="1"/>
  <c r="AN179" i="1"/>
  <c r="AM179" i="1"/>
  <c r="AP178" i="1"/>
  <c r="AO178" i="1"/>
  <c r="AN178" i="1"/>
  <c r="AM178" i="1"/>
  <c r="AP177" i="1"/>
  <c r="AO177" i="1"/>
  <c r="AN177" i="1"/>
  <c r="AM177" i="1"/>
  <c r="AP176" i="1"/>
  <c r="AO176" i="1"/>
  <c r="AN176" i="1"/>
  <c r="AM176" i="1"/>
  <c r="AP175" i="1"/>
  <c r="AO175" i="1"/>
  <c r="AN175" i="1"/>
  <c r="AM175" i="1"/>
  <c r="AP174" i="1"/>
  <c r="AO174" i="1"/>
  <c r="AN174" i="1"/>
  <c r="AM174" i="1"/>
  <c r="AP173" i="1"/>
  <c r="AO173" i="1"/>
  <c r="AN173" i="1"/>
  <c r="AM173" i="1"/>
  <c r="AP172" i="1"/>
  <c r="AO172" i="1"/>
  <c r="AN172" i="1"/>
  <c r="AM172" i="1"/>
  <c r="AP171" i="1"/>
  <c r="AO171" i="1"/>
  <c r="AN171" i="1"/>
  <c r="AM171" i="1"/>
  <c r="AP170" i="1"/>
  <c r="AO170" i="1"/>
  <c r="AN170" i="1"/>
  <c r="AM170" i="1"/>
  <c r="AP169" i="1"/>
  <c r="AO169" i="1"/>
  <c r="AN169" i="1"/>
  <c r="AM169" i="1"/>
  <c r="AP168" i="1"/>
  <c r="AO168" i="1"/>
  <c r="AN168" i="1"/>
  <c r="AM168" i="1"/>
  <c r="AP167" i="1"/>
  <c r="AO167" i="1"/>
  <c r="AN167" i="1"/>
  <c r="AM167" i="1"/>
  <c r="AP166" i="1"/>
  <c r="AO166" i="1"/>
  <c r="AN166" i="1"/>
  <c r="AM166" i="1"/>
  <c r="AP165" i="1"/>
  <c r="AO165" i="1"/>
  <c r="AN165" i="1"/>
  <c r="AM165" i="1"/>
  <c r="AP164" i="1"/>
  <c r="AO164" i="1"/>
  <c r="AN164" i="1"/>
  <c r="AM164" i="1"/>
  <c r="AP163" i="1"/>
  <c r="AO163" i="1"/>
  <c r="AN163" i="1"/>
  <c r="AM163" i="1"/>
  <c r="AP162" i="1"/>
  <c r="AO162" i="1"/>
  <c r="AN162" i="1"/>
  <c r="AM162" i="1"/>
  <c r="AP161" i="1"/>
  <c r="AO161" i="1"/>
  <c r="AN161" i="1"/>
  <c r="AM161" i="1"/>
  <c r="AP160" i="1"/>
  <c r="AO160" i="1"/>
  <c r="AN160" i="1"/>
  <c r="AM160" i="1"/>
  <c r="AP159" i="1"/>
  <c r="AO159" i="1"/>
  <c r="AN159" i="1"/>
  <c r="AM159" i="1"/>
  <c r="AP158" i="1"/>
  <c r="AO158" i="1"/>
  <c r="AN158" i="1"/>
  <c r="AM158" i="1"/>
  <c r="AP157" i="1"/>
  <c r="AO157" i="1"/>
  <c r="AN157" i="1"/>
  <c r="AM157" i="1"/>
  <c r="AP156" i="1"/>
  <c r="AO156" i="1"/>
  <c r="AN156" i="1"/>
  <c r="AM156" i="1"/>
  <c r="AP155" i="1"/>
  <c r="AO155" i="1"/>
  <c r="AN155" i="1"/>
  <c r="AM155" i="1"/>
  <c r="AP154" i="1"/>
  <c r="AO154" i="1"/>
  <c r="AN154" i="1"/>
  <c r="AM154" i="1"/>
  <c r="AP153" i="1"/>
  <c r="AO153" i="1"/>
  <c r="AN153" i="1"/>
  <c r="AM153" i="1"/>
  <c r="AP152" i="1"/>
  <c r="AO152" i="1"/>
  <c r="AN152" i="1"/>
  <c r="AM152" i="1"/>
  <c r="AP151" i="1"/>
  <c r="AO151" i="1"/>
  <c r="AN151" i="1"/>
  <c r="AM151" i="1"/>
  <c r="AP150" i="1"/>
  <c r="AO150" i="1"/>
  <c r="AN150" i="1"/>
  <c r="AM150" i="1"/>
  <c r="AP149" i="1"/>
  <c r="AO149" i="1"/>
  <c r="AN149" i="1"/>
  <c r="AM149" i="1"/>
  <c r="AP148" i="1"/>
  <c r="AO148" i="1"/>
  <c r="AN148" i="1"/>
  <c r="AM148" i="1"/>
  <c r="AP147" i="1"/>
  <c r="AO147" i="1"/>
  <c r="AN147" i="1"/>
  <c r="AM147" i="1"/>
  <c r="AP146" i="1"/>
  <c r="AO146" i="1"/>
  <c r="AN146" i="1"/>
  <c r="AM146" i="1"/>
  <c r="AP145" i="1"/>
  <c r="AO145" i="1"/>
  <c r="AN145" i="1"/>
  <c r="AM145" i="1"/>
  <c r="AP144" i="1"/>
  <c r="AO144" i="1"/>
  <c r="AN144" i="1"/>
  <c r="AM144" i="1"/>
  <c r="AP143" i="1"/>
  <c r="AO143" i="1"/>
  <c r="AN143" i="1"/>
  <c r="AM143" i="1"/>
  <c r="AP142" i="1"/>
  <c r="AO142" i="1"/>
  <c r="AN142" i="1"/>
  <c r="AM142" i="1"/>
  <c r="AP141" i="1"/>
  <c r="AO141" i="1"/>
  <c r="AN141" i="1"/>
  <c r="AM141" i="1"/>
  <c r="AP140" i="1"/>
  <c r="AO140" i="1"/>
  <c r="AN140" i="1"/>
  <c r="AM140" i="1"/>
  <c r="AP139" i="1"/>
  <c r="AO139" i="1"/>
  <c r="AN139" i="1"/>
  <c r="AM139" i="1"/>
  <c r="AP138" i="1"/>
  <c r="AO138" i="1"/>
  <c r="AN138" i="1"/>
  <c r="AM138" i="1"/>
  <c r="AP137" i="1"/>
  <c r="AO137" i="1"/>
  <c r="AN137" i="1"/>
  <c r="AM137" i="1"/>
  <c r="AP136" i="1"/>
  <c r="AO136" i="1"/>
  <c r="AN136" i="1"/>
  <c r="AM136" i="1"/>
  <c r="AP135" i="1"/>
  <c r="AO135" i="1"/>
  <c r="AN135" i="1"/>
  <c r="AM135" i="1"/>
  <c r="AP134" i="1"/>
  <c r="AO134" i="1"/>
  <c r="AN134" i="1"/>
  <c r="AM134" i="1"/>
  <c r="AP133" i="1"/>
  <c r="AO133" i="1"/>
  <c r="AN133" i="1"/>
  <c r="AM133" i="1"/>
  <c r="AP132" i="1"/>
  <c r="AO132" i="1"/>
  <c r="AN132" i="1"/>
  <c r="AM132" i="1"/>
  <c r="AP131" i="1"/>
  <c r="AO131" i="1"/>
  <c r="AN131" i="1"/>
  <c r="AM131" i="1"/>
  <c r="AP130" i="1"/>
  <c r="AO130" i="1"/>
  <c r="AN130" i="1"/>
  <c r="AM130" i="1"/>
  <c r="AP129" i="1"/>
  <c r="AO129" i="1"/>
  <c r="AN129" i="1"/>
  <c r="AM129" i="1"/>
  <c r="AP128" i="1"/>
  <c r="AO128" i="1"/>
  <c r="AN128" i="1"/>
  <c r="AM128" i="1"/>
  <c r="AP127" i="1"/>
  <c r="AO127" i="1"/>
  <c r="AN127" i="1"/>
  <c r="AM127" i="1"/>
  <c r="AP126" i="1"/>
  <c r="AO126" i="1"/>
  <c r="AN126" i="1"/>
  <c r="AM126" i="1"/>
  <c r="AP125" i="1"/>
  <c r="AO125" i="1"/>
  <c r="AN125" i="1"/>
  <c r="AM125" i="1"/>
  <c r="AP124" i="1"/>
  <c r="AO124" i="1"/>
  <c r="AN124" i="1"/>
  <c r="AM124" i="1"/>
  <c r="AP123" i="1"/>
  <c r="AO123" i="1"/>
  <c r="AN123" i="1"/>
  <c r="AM123" i="1"/>
  <c r="AP122" i="1"/>
  <c r="AO122" i="1"/>
  <c r="AN122" i="1"/>
  <c r="AM122" i="1"/>
  <c r="AP121" i="1"/>
  <c r="AO121" i="1"/>
  <c r="AN121" i="1"/>
  <c r="AM121" i="1"/>
  <c r="AP120" i="1"/>
  <c r="AO120" i="1"/>
  <c r="AN120" i="1"/>
  <c r="AM120" i="1"/>
  <c r="AP119" i="1"/>
  <c r="AO119" i="1"/>
  <c r="AN119" i="1"/>
  <c r="AM119" i="1"/>
  <c r="AP118" i="1"/>
  <c r="AO118" i="1"/>
  <c r="AN118" i="1"/>
  <c r="AM118" i="1"/>
  <c r="AP117" i="1"/>
  <c r="AO117" i="1"/>
  <c r="AN117" i="1"/>
  <c r="AM117" i="1"/>
  <c r="AP116" i="1"/>
  <c r="AO116" i="1"/>
  <c r="AN116" i="1"/>
  <c r="AM116" i="1"/>
  <c r="AP115" i="1"/>
  <c r="AO115" i="1"/>
  <c r="AN115" i="1"/>
  <c r="AM115" i="1"/>
  <c r="AP114" i="1"/>
  <c r="AO114" i="1"/>
  <c r="AN114" i="1"/>
  <c r="AM114" i="1"/>
  <c r="AP113" i="1"/>
  <c r="AO113" i="1"/>
  <c r="AN113" i="1"/>
  <c r="AM113" i="1"/>
  <c r="AP112" i="1"/>
  <c r="AO112" i="1"/>
  <c r="AN112" i="1"/>
  <c r="AM112" i="1"/>
  <c r="AP111" i="1"/>
  <c r="AO111" i="1"/>
  <c r="AN111" i="1"/>
  <c r="AM111" i="1"/>
  <c r="AP110" i="1"/>
  <c r="AO110" i="1"/>
  <c r="AN110" i="1"/>
  <c r="AM110" i="1"/>
  <c r="AP109" i="1"/>
  <c r="AO109" i="1"/>
  <c r="AN109" i="1"/>
  <c r="AM109" i="1"/>
  <c r="AP108" i="1"/>
  <c r="AO108" i="1"/>
  <c r="AN108" i="1"/>
  <c r="AM108" i="1"/>
  <c r="AP107" i="1"/>
  <c r="AO107" i="1"/>
  <c r="AN107" i="1"/>
  <c r="AM107" i="1"/>
  <c r="AP106" i="1"/>
  <c r="AO106" i="1"/>
  <c r="AN106" i="1"/>
  <c r="AM106" i="1"/>
  <c r="AP105" i="1"/>
  <c r="AO105" i="1"/>
  <c r="AN105" i="1"/>
  <c r="AM105" i="1"/>
  <c r="AP104" i="1"/>
  <c r="AO104" i="1"/>
  <c r="AN104" i="1"/>
  <c r="AM104" i="1"/>
  <c r="AP103" i="1"/>
  <c r="AO103" i="1"/>
  <c r="AN103" i="1"/>
  <c r="AM103" i="1"/>
  <c r="AP102" i="1"/>
  <c r="AO102" i="1"/>
  <c r="AN102" i="1"/>
  <c r="AM102" i="1"/>
  <c r="AP101" i="1"/>
  <c r="AO101" i="1"/>
  <c r="AN101" i="1"/>
  <c r="AM101" i="1"/>
  <c r="AP100" i="1"/>
  <c r="AO100" i="1"/>
  <c r="AN100" i="1"/>
  <c r="AM100" i="1"/>
  <c r="AP99" i="1"/>
  <c r="AO99" i="1"/>
  <c r="AN99" i="1"/>
  <c r="AM99" i="1"/>
  <c r="AP98" i="1"/>
  <c r="AO98" i="1"/>
  <c r="AN98" i="1"/>
  <c r="AM98" i="1"/>
  <c r="AP97" i="1"/>
  <c r="AO97" i="1"/>
  <c r="AN97" i="1"/>
  <c r="AM97" i="1"/>
  <c r="AP96" i="1"/>
  <c r="AO96" i="1"/>
  <c r="AN96" i="1"/>
  <c r="AM96" i="1"/>
  <c r="AP95" i="1"/>
  <c r="AO95" i="1"/>
  <c r="AN95" i="1"/>
  <c r="AM95" i="1"/>
  <c r="AP94" i="1"/>
  <c r="AO94" i="1"/>
  <c r="AN94" i="1"/>
  <c r="AM94" i="1"/>
  <c r="AP93" i="1"/>
  <c r="AO93" i="1"/>
  <c r="AN93" i="1"/>
  <c r="AM93" i="1"/>
  <c r="AP92" i="1"/>
  <c r="AO92" i="1"/>
  <c r="AN92" i="1"/>
  <c r="AM92" i="1"/>
  <c r="AP91" i="1"/>
  <c r="AO91" i="1"/>
  <c r="AN91" i="1"/>
  <c r="AM91" i="1"/>
  <c r="AP90" i="1"/>
  <c r="AO90" i="1"/>
  <c r="AN90" i="1"/>
  <c r="AM90" i="1"/>
  <c r="AP89" i="1"/>
  <c r="AO89" i="1"/>
  <c r="AN89" i="1"/>
  <c r="AM89" i="1"/>
  <c r="AP88" i="1"/>
  <c r="AO88" i="1"/>
  <c r="AN88" i="1"/>
  <c r="AM88" i="1"/>
  <c r="AP87" i="1"/>
  <c r="AO87" i="1"/>
  <c r="AN87" i="1"/>
  <c r="AM87" i="1"/>
  <c r="AP86" i="1"/>
  <c r="AO86" i="1"/>
  <c r="AN86" i="1"/>
  <c r="AM86" i="1"/>
  <c r="AP85" i="1"/>
  <c r="AO85" i="1"/>
  <c r="AN85" i="1"/>
  <c r="AM85" i="1"/>
  <c r="AP84" i="1"/>
  <c r="AO84" i="1"/>
  <c r="AN84" i="1"/>
  <c r="AM84" i="1"/>
  <c r="AP83" i="1"/>
  <c r="AO83" i="1"/>
  <c r="AN83" i="1"/>
  <c r="AM83" i="1"/>
  <c r="AP82" i="1"/>
  <c r="AO82" i="1"/>
  <c r="AN82" i="1"/>
  <c r="AM82" i="1"/>
  <c r="AP81" i="1"/>
  <c r="AO81" i="1"/>
  <c r="AN81" i="1"/>
  <c r="AM81" i="1"/>
  <c r="AP80" i="1"/>
  <c r="AO80" i="1"/>
  <c r="AN80" i="1"/>
  <c r="AM80" i="1"/>
  <c r="AP79" i="1"/>
  <c r="AO79" i="1"/>
  <c r="AN79" i="1"/>
  <c r="AM79" i="1"/>
  <c r="AP78" i="1"/>
  <c r="AO78" i="1"/>
  <c r="AN78" i="1"/>
  <c r="AM78" i="1"/>
  <c r="AP77" i="1"/>
  <c r="AO77" i="1"/>
  <c r="AN77" i="1"/>
  <c r="AM77" i="1"/>
  <c r="AP76" i="1"/>
  <c r="AO76" i="1"/>
  <c r="AN76" i="1"/>
  <c r="AM76" i="1"/>
  <c r="AP75" i="1"/>
  <c r="AO75" i="1"/>
  <c r="AN75" i="1"/>
  <c r="AM75" i="1"/>
  <c r="AP74" i="1"/>
  <c r="AO74" i="1"/>
  <c r="AN74" i="1"/>
  <c r="AM74" i="1"/>
  <c r="AP73" i="1"/>
  <c r="AO73" i="1"/>
  <c r="AN73" i="1"/>
  <c r="AM73" i="1"/>
  <c r="AP72" i="1"/>
  <c r="AO72" i="1"/>
  <c r="AN72" i="1"/>
  <c r="AM72" i="1"/>
  <c r="AP71" i="1"/>
  <c r="AO71" i="1"/>
  <c r="AN71" i="1"/>
  <c r="AM71" i="1"/>
  <c r="AP70" i="1"/>
  <c r="AO70" i="1"/>
  <c r="AN70" i="1"/>
  <c r="AM70" i="1"/>
  <c r="AP69" i="1"/>
  <c r="AO69" i="1"/>
  <c r="AN69" i="1"/>
  <c r="AM69" i="1"/>
  <c r="AP68" i="1"/>
  <c r="AO68" i="1"/>
  <c r="AN68" i="1"/>
  <c r="AM68" i="1"/>
  <c r="AP67" i="1"/>
  <c r="AO67" i="1"/>
  <c r="AN67" i="1"/>
  <c r="AM67" i="1"/>
  <c r="AP66" i="1"/>
  <c r="AO66" i="1"/>
  <c r="AN66" i="1"/>
  <c r="AM66" i="1"/>
  <c r="AP65" i="1"/>
  <c r="AO65" i="1"/>
  <c r="AN65" i="1"/>
  <c r="AM65" i="1"/>
  <c r="AP64" i="1"/>
  <c r="AO64" i="1"/>
  <c r="AN64" i="1"/>
  <c r="AM64" i="1"/>
  <c r="AP63" i="1"/>
  <c r="AO63" i="1"/>
  <c r="AN63" i="1"/>
  <c r="AM63" i="1"/>
  <c r="AP62" i="1"/>
  <c r="AO62" i="1"/>
  <c r="AN62" i="1"/>
  <c r="AM62" i="1"/>
  <c r="AP61" i="1"/>
  <c r="AO61" i="1"/>
  <c r="AN61" i="1"/>
  <c r="AM61" i="1"/>
  <c r="AP60" i="1"/>
  <c r="AO60" i="1"/>
  <c r="AN60" i="1"/>
  <c r="AM60" i="1"/>
  <c r="AP59" i="1"/>
  <c r="AO59" i="1"/>
  <c r="AN59" i="1"/>
  <c r="AM59" i="1"/>
  <c r="AP58" i="1"/>
  <c r="AO58" i="1"/>
  <c r="AN58" i="1"/>
  <c r="AM58" i="1"/>
  <c r="AP57" i="1"/>
  <c r="AO57" i="1"/>
  <c r="AN57" i="1"/>
  <c r="AM57" i="1"/>
  <c r="AP56" i="1"/>
  <c r="AO56" i="1"/>
  <c r="AN56" i="1"/>
  <c r="AM56" i="1"/>
  <c r="AP55" i="1"/>
  <c r="AO55" i="1"/>
  <c r="AN55" i="1"/>
  <c r="AM55" i="1"/>
  <c r="AP54" i="1"/>
  <c r="AO54" i="1"/>
  <c r="AN54" i="1"/>
  <c r="AM54" i="1"/>
  <c r="AP53" i="1"/>
  <c r="AO53" i="1"/>
  <c r="AN53" i="1"/>
  <c r="AM53" i="1"/>
  <c r="AP52" i="1"/>
  <c r="AO52" i="1"/>
  <c r="AN52" i="1"/>
  <c r="AM52" i="1"/>
  <c r="AP51" i="1"/>
  <c r="AO51" i="1"/>
  <c r="AN51" i="1"/>
  <c r="AM51" i="1"/>
  <c r="AP50" i="1"/>
  <c r="AO50" i="1"/>
  <c r="AN50" i="1"/>
  <c r="AM50" i="1"/>
  <c r="AP49" i="1"/>
  <c r="AO49" i="1"/>
  <c r="AN49" i="1"/>
  <c r="AM49" i="1"/>
  <c r="I49" i="1"/>
  <c r="AP48" i="1"/>
  <c r="AO48" i="1"/>
  <c r="AN48" i="1"/>
  <c r="AM48" i="1"/>
  <c r="I48" i="1"/>
  <c r="AP47" i="1"/>
  <c r="AO47" i="1"/>
  <c r="AN47" i="1"/>
  <c r="AM47" i="1"/>
  <c r="I47" i="1"/>
  <c r="AP46" i="1"/>
  <c r="AO46" i="1"/>
  <c r="AN46" i="1"/>
  <c r="AM46" i="1"/>
  <c r="I46" i="1"/>
  <c r="AP45" i="1"/>
  <c r="AO45" i="1"/>
  <c r="AN45" i="1"/>
  <c r="AM45" i="1"/>
  <c r="I45" i="1"/>
  <c r="AP44" i="1"/>
  <c r="AO44" i="1"/>
  <c r="AN44" i="1"/>
  <c r="AM44" i="1"/>
  <c r="I44" i="1"/>
  <c r="AP43" i="1"/>
  <c r="AO43" i="1"/>
  <c r="AN43" i="1"/>
  <c r="AM43" i="1"/>
  <c r="I43" i="1"/>
  <c r="AP42" i="1"/>
  <c r="AO42" i="1"/>
  <c r="AN42" i="1"/>
  <c r="AM42" i="1"/>
  <c r="I42" i="1"/>
  <c r="AP41" i="1"/>
  <c r="AO41" i="1"/>
  <c r="AN41" i="1"/>
  <c r="AM41" i="1"/>
  <c r="I41" i="1"/>
  <c r="AP40" i="1"/>
  <c r="AO40" i="1"/>
  <c r="AN40" i="1"/>
  <c r="AM40" i="1"/>
  <c r="I40" i="1"/>
  <c r="AP39" i="1"/>
  <c r="AO39" i="1"/>
  <c r="AN39" i="1"/>
  <c r="AM39" i="1"/>
  <c r="I39" i="1"/>
  <c r="AP38" i="1"/>
  <c r="AO38" i="1"/>
  <c r="AN38" i="1"/>
  <c r="AM38" i="1"/>
  <c r="I38" i="1"/>
  <c r="AP37" i="1"/>
  <c r="AO37" i="1"/>
  <c r="AN37" i="1"/>
  <c r="AM37" i="1"/>
  <c r="I37" i="1"/>
  <c r="AP36" i="1"/>
  <c r="AO36" i="1"/>
  <c r="AN36" i="1"/>
  <c r="AM36" i="1"/>
  <c r="I36" i="1"/>
  <c r="AP35" i="1"/>
  <c r="AO35" i="1"/>
  <c r="AN35" i="1"/>
  <c r="AM35" i="1"/>
  <c r="I35" i="1"/>
  <c r="AP34" i="1"/>
  <c r="AO34" i="1"/>
  <c r="AN34" i="1"/>
  <c r="AM34" i="1"/>
  <c r="I34" i="1"/>
  <c r="AP33" i="1"/>
  <c r="AO33" i="1"/>
  <c r="AN33" i="1"/>
  <c r="AM33" i="1"/>
  <c r="I33" i="1"/>
  <c r="AP32" i="1"/>
  <c r="AO32" i="1"/>
  <c r="AN32" i="1"/>
  <c r="AM32" i="1"/>
  <c r="I32" i="1"/>
  <c r="AP31" i="1"/>
  <c r="AO31" i="1"/>
  <c r="AN31" i="1"/>
  <c r="AM31" i="1"/>
  <c r="AP30" i="1"/>
  <c r="AO30" i="1"/>
  <c r="AN30" i="1"/>
  <c r="AM30" i="1"/>
  <c r="AP29" i="1"/>
  <c r="AO29" i="1"/>
  <c r="AN29" i="1"/>
  <c r="AM29" i="1"/>
  <c r="AP28" i="1"/>
  <c r="AO28" i="1"/>
  <c r="AN28" i="1"/>
  <c r="AM28" i="1"/>
  <c r="AP27" i="1"/>
  <c r="AO27" i="1"/>
  <c r="AN27" i="1"/>
  <c r="AM27" i="1"/>
  <c r="AP26" i="1"/>
  <c r="AO26" i="1"/>
  <c r="AN26" i="1"/>
  <c r="AM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AP25" i="1"/>
  <c r="AO25" i="1"/>
  <c r="AN25" i="1"/>
  <c r="AM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AP24" i="1"/>
  <c r="AO24" i="1"/>
  <c r="AN24" i="1"/>
  <c r="AM24" i="1"/>
  <c r="Z24" i="1"/>
  <c r="X24" i="1"/>
  <c r="V24" i="1"/>
  <c r="T24" i="1"/>
  <c r="R24" i="1"/>
  <c r="P24" i="1"/>
  <c r="N24" i="1"/>
  <c r="L24" i="1"/>
  <c r="J24" i="1"/>
  <c r="AP23" i="1"/>
  <c r="AO23" i="1"/>
  <c r="AN23" i="1"/>
  <c r="AM23" i="1"/>
  <c r="Z23" i="1"/>
  <c r="X23" i="1"/>
  <c r="V23" i="1"/>
  <c r="T23" i="1"/>
  <c r="R23" i="1"/>
  <c r="P23" i="1"/>
  <c r="N23" i="1"/>
  <c r="L23" i="1"/>
  <c r="J23" i="1"/>
  <c r="AP22" i="1"/>
  <c r="AO22" i="1"/>
  <c r="AN22" i="1"/>
  <c r="AM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E22" i="1"/>
  <c r="N34" i="1" s="1"/>
  <c r="AP21" i="1"/>
  <c r="AO21" i="1"/>
  <c r="AN21" i="1"/>
  <c r="AM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P20" i="1"/>
  <c r="AO20" i="1"/>
  <c r="AN20" i="1"/>
  <c r="AM20" i="1"/>
  <c r="AI20" i="1"/>
  <c r="AH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AP19" i="1"/>
  <c r="AO19" i="1"/>
  <c r="AN19" i="1"/>
  <c r="AM19" i="1"/>
  <c r="AH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AP18" i="1"/>
  <c r="AO18" i="1"/>
  <c r="AN18" i="1"/>
  <c r="AM18" i="1"/>
  <c r="AI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AP17" i="1"/>
  <c r="AO17" i="1"/>
  <c r="AN17" i="1"/>
  <c r="AM17" i="1"/>
  <c r="AI17" i="1"/>
  <c r="AH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P16" i="1"/>
  <c r="AO16" i="1"/>
  <c r="AN16" i="1"/>
  <c r="AM16" i="1"/>
  <c r="AP15" i="1"/>
  <c r="AO15" i="1"/>
  <c r="AN15" i="1"/>
  <c r="AM15" i="1"/>
  <c r="AC15" i="1"/>
  <c r="AB15" i="1"/>
  <c r="Z15" i="1"/>
  <c r="X15" i="1"/>
  <c r="V15" i="1"/>
  <c r="T15" i="1"/>
  <c r="R15" i="1"/>
  <c r="P15" i="1"/>
  <c r="N15" i="1"/>
  <c r="L15" i="1"/>
  <c r="J15" i="1"/>
  <c r="AP14" i="1"/>
  <c r="AO14" i="1"/>
  <c r="AN14" i="1"/>
  <c r="AM14" i="1"/>
  <c r="AI14" i="1"/>
  <c r="AH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AP13" i="1"/>
  <c r="AO13" i="1"/>
  <c r="AN13" i="1"/>
  <c r="AM13" i="1"/>
  <c r="AH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AP12" i="1"/>
  <c r="AO12" i="1"/>
  <c r="AN12" i="1"/>
  <c r="AM12" i="1"/>
  <c r="AI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AP11" i="1"/>
  <c r="AO11" i="1"/>
  <c r="AN11" i="1"/>
  <c r="AM11" i="1"/>
  <c r="AI11" i="1"/>
  <c r="AH11" i="1"/>
  <c r="AP10" i="1"/>
  <c r="AO10" i="1"/>
  <c r="AN10" i="1"/>
  <c r="AM10" i="1"/>
  <c r="AI10" i="1"/>
  <c r="AH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AP9" i="1"/>
  <c r="AO9" i="1"/>
  <c r="AN9" i="1"/>
  <c r="AM9" i="1"/>
  <c r="AH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AP8" i="1"/>
  <c r="AO8" i="1"/>
  <c r="AN8" i="1"/>
  <c r="AC8" i="1"/>
  <c r="AB8" i="1"/>
  <c r="Z8" i="1"/>
  <c r="X8" i="1"/>
  <c r="V8" i="1"/>
  <c r="U8" i="1"/>
  <c r="T8" i="1"/>
  <c r="S8" i="1"/>
  <c r="R8" i="1"/>
  <c r="Q8" i="1"/>
  <c r="P8" i="1"/>
  <c r="O8" i="1"/>
  <c r="N8" i="1"/>
  <c r="M8" i="1"/>
  <c r="L8" i="1"/>
  <c r="K8" i="1"/>
  <c r="J8" i="1"/>
  <c r="AJ7" i="1"/>
  <c r="AH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AK6" i="1"/>
  <c r="AJ6" i="1"/>
  <c r="AI6" i="1"/>
  <c r="AH6" i="1"/>
  <c r="AC6" i="1"/>
  <c r="AA6" i="1"/>
  <c r="Y6" i="1"/>
  <c r="W6" i="1"/>
  <c r="U6" i="1"/>
  <c r="S6" i="1"/>
  <c r="Q6" i="1"/>
  <c r="O6" i="1"/>
  <c r="M6" i="1"/>
  <c r="K6" i="1"/>
  <c r="AC5" i="1"/>
  <c r="AA5" i="1"/>
  <c r="Y5" i="1"/>
  <c r="W5" i="1"/>
  <c r="U5" i="1"/>
  <c r="S5" i="1"/>
  <c r="Q5" i="1"/>
  <c r="O5" i="1"/>
  <c r="M5" i="1"/>
  <c r="K5" i="1"/>
  <c r="AK4" i="1"/>
  <c r="AJ4" i="1"/>
  <c r="AI4" i="1"/>
  <c r="AH4" i="1"/>
  <c r="B4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K3" i="1"/>
  <c r="G3" i="1"/>
  <c r="AI2" i="1"/>
  <c r="AD2" i="1"/>
  <c r="AC2" i="1"/>
  <c r="AA2" i="1"/>
  <c r="Y2" i="1"/>
  <c r="W2" i="1"/>
  <c r="U2" i="1"/>
  <c r="S2" i="1"/>
  <c r="Q2" i="1"/>
  <c r="O2" i="1"/>
  <c r="M2" i="1"/>
  <c r="K2" i="1"/>
  <c r="D2" i="1"/>
  <c r="AK1" i="1"/>
  <c r="AJ1" i="1"/>
  <c r="AI1" i="1"/>
  <c r="AH1" i="1"/>
  <c r="AF1" i="1"/>
  <c r="AE1" i="1"/>
  <c r="AD1" i="1"/>
  <c r="AB1" i="1"/>
  <c r="Z1" i="1"/>
  <c r="X1" i="1"/>
  <c r="V1" i="1"/>
  <c r="T1" i="1"/>
  <c r="R1" i="1"/>
  <c r="P1" i="1"/>
  <c r="N1" i="1"/>
  <c r="L1" i="1"/>
  <c r="I1" i="1"/>
  <c r="D1" i="1"/>
  <c r="J28" i="1" l="1"/>
  <c r="G35" i="1" s="1"/>
  <c r="N28" i="1"/>
  <c r="G39" i="1" s="1"/>
  <c r="R28" i="1"/>
  <c r="G43" i="1" s="1"/>
  <c r="V28" i="1"/>
  <c r="G47" i="1" s="1"/>
  <c r="Z28" i="1"/>
  <c r="G51" i="1" s="1"/>
  <c r="L29" i="1"/>
  <c r="G38" i="1" s="1"/>
  <c r="P29" i="1"/>
  <c r="G42" i="1" s="1"/>
  <c r="T29" i="1"/>
  <c r="G46" i="1" s="1"/>
  <c r="X29" i="1"/>
  <c r="G50" i="1" s="1"/>
  <c r="J30" i="1"/>
  <c r="N30" i="1"/>
  <c r="R30" i="1"/>
  <c r="V30" i="1"/>
  <c r="Z30" i="1"/>
  <c r="L31" i="1"/>
  <c r="P31" i="1"/>
  <c r="T31" i="1"/>
  <c r="X31" i="1"/>
  <c r="M32" i="1"/>
  <c r="Q32" i="1"/>
  <c r="U32" i="1"/>
  <c r="Y32" i="1"/>
  <c r="J33" i="1"/>
  <c r="O33" i="1"/>
  <c r="U33" i="1"/>
  <c r="AA33" i="1"/>
  <c r="Z49" i="1"/>
  <c r="V49" i="1"/>
  <c r="R49" i="1"/>
  <c r="N49" i="1"/>
  <c r="J49" i="1"/>
  <c r="AA48" i="1"/>
  <c r="W48" i="1"/>
  <c r="S48" i="1"/>
  <c r="O48" i="1"/>
  <c r="K48" i="1"/>
  <c r="X47" i="1"/>
  <c r="T47" i="1"/>
  <c r="P47" i="1"/>
  <c r="L47" i="1"/>
  <c r="Y46" i="1"/>
  <c r="U46" i="1"/>
  <c r="Q46" i="1"/>
  <c r="M46" i="1"/>
  <c r="Z45" i="1"/>
  <c r="V45" i="1"/>
  <c r="R45" i="1"/>
  <c r="N45" i="1"/>
  <c r="J45" i="1"/>
  <c r="AA44" i="1"/>
  <c r="W44" i="1"/>
  <c r="S44" i="1"/>
  <c r="O44" i="1"/>
  <c r="K44" i="1"/>
  <c r="X43" i="1"/>
  <c r="T43" i="1"/>
  <c r="P43" i="1"/>
  <c r="L43" i="1"/>
  <c r="Y42" i="1"/>
  <c r="U42" i="1"/>
  <c r="Q42" i="1"/>
  <c r="M42" i="1"/>
  <c r="Z41" i="1"/>
  <c r="V41" i="1"/>
  <c r="R41" i="1"/>
  <c r="N41" i="1"/>
  <c r="J41" i="1"/>
  <c r="AA40" i="1"/>
  <c r="W40" i="1"/>
  <c r="S40" i="1"/>
  <c r="O40" i="1"/>
  <c r="K40" i="1"/>
  <c r="X39" i="1"/>
  <c r="T39" i="1"/>
  <c r="P39" i="1"/>
  <c r="L39" i="1"/>
  <c r="Y38" i="1"/>
  <c r="U38" i="1"/>
  <c r="Q38" i="1"/>
  <c r="M38" i="1"/>
  <c r="Z37" i="1"/>
  <c r="V37" i="1"/>
  <c r="R37" i="1"/>
  <c r="N37" i="1"/>
  <c r="J37" i="1"/>
  <c r="AA36" i="1"/>
  <c r="W36" i="1"/>
  <c r="S36" i="1"/>
  <c r="O36" i="1"/>
  <c r="K36" i="1"/>
  <c r="X35" i="1"/>
  <c r="T35" i="1"/>
  <c r="P35" i="1"/>
  <c r="L35" i="1"/>
  <c r="Y34" i="1"/>
  <c r="U34" i="1"/>
  <c r="Q34" i="1"/>
  <c r="M34" i="1"/>
  <c r="X33" i="1"/>
  <c r="T33" i="1"/>
  <c r="P33" i="1"/>
  <c r="L33" i="1"/>
  <c r="Y49" i="1"/>
  <c r="U49" i="1"/>
  <c r="Q49" i="1"/>
  <c r="M49" i="1"/>
  <c r="Z48" i="1"/>
  <c r="V48" i="1"/>
  <c r="R48" i="1"/>
  <c r="N48" i="1"/>
  <c r="J48" i="1"/>
  <c r="AA47" i="1"/>
  <c r="W47" i="1"/>
  <c r="S47" i="1"/>
  <c r="O47" i="1"/>
  <c r="K47" i="1"/>
  <c r="X46" i="1"/>
  <c r="T46" i="1"/>
  <c r="P46" i="1"/>
  <c r="L46" i="1"/>
  <c r="Y45" i="1"/>
  <c r="U45" i="1"/>
  <c r="Q45" i="1"/>
  <c r="M45" i="1"/>
  <c r="Z44" i="1"/>
  <c r="V44" i="1"/>
  <c r="R44" i="1"/>
  <c r="N44" i="1"/>
  <c r="J44" i="1"/>
  <c r="AA43" i="1"/>
  <c r="W43" i="1"/>
  <c r="S43" i="1"/>
  <c r="O43" i="1"/>
  <c r="K43" i="1"/>
  <c r="X42" i="1"/>
  <c r="T42" i="1"/>
  <c r="P42" i="1"/>
  <c r="L42" i="1"/>
  <c r="Y41" i="1"/>
  <c r="U41" i="1"/>
  <c r="Q41" i="1"/>
  <c r="M41" i="1"/>
  <c r="Z40" i="1"/>
  <c r="V40" i="1"/>
  <c r="R40" i="1"/>
  <c r="N40" i="1"/>
  <c r="J40" i="1"/>
  <c r="AA39" i="1"/>
  <c r="W39" i="1"/>
  <c r="S39" i="1"/>
  <c r="O39" i="1"/>
  <c r="K39" i="1"/>
  <c r="X38" i="1"/>
  <c r="T38" i="1"/>
  <c r="P38" i="1"/>
  <c r="L38" i="1"/>
  <c r="Y37" i="1"/>
  <c r="U37" i="1"/>
  <c r="Q37" i="1"/>
  <c r="M37" i="1"/>
  <c r="Z36" i="1"/>
  <c r="V36" i="1"/>
  <c r="R36" i="1"/>
  <c r="N36" i="1"/>
  <c r="J36" i="1"/>
  <c r="AA35" i="1"/>
  <c r="W35" i="1"/>
  <c r="S35" i="1"/>
  <c r="O35" i="1"/>
  <c r="K35" i="1"/>
  <c r="X34" i="1"/>
  <c r="T34" i="1"/>
  <c r="P34" i="1"/>
  <c r="X49" i="1"/>
  <c r="T49" i="1"/>
  <c r="P49" i="1"/>
  <c r="L49" i="1"/>
  <c r="Y48" i="1"/>
  <c r="U48" i="1"/>
  <c r="Q48" i="1"/>
  <c r="M48" i="1"/>
  <c r="Z47" i="1"/>
  <c r="V47" i="1"/>
  <c r="R47" i="1"/>
  <c r="N47" i="1"/>
  <c r="J47" i="1"/>
  <c r="AA46" i="1"/>
  <c r="W46" i="1"/>
  <c r="S46" i="1"/>
  <c r="O46" i="1"/>
  <c r="K46" i="1"/>
  <c r="X45" i="1"/>
  <c r="T45" i="1"/>
  <c r="P45" i="1"/>
  <c r="L45" i="1"/>
  <c r="Y44" i="1"/>
  <c r="U44" i="1"/>
  <c r="Q44" i="1"/>
  <c r="M44" i="1"/>
  <c r="Z43" i="1"/>
  <c r="V43" i="1"/>
  <c r="R43" i="1"/>
  <c r="N43" i="1"/>
  <c r="J43" i="1"/>
  <c r="AA42" i="1"/>
  <c r="W42" i="1"/>
  <c r="S42" i="1"/>
  <c r="O42" i="1"/>
  <c r="K42" i="1"/>
  <c r="X41" i="1"/>
  <c r="T41" i="1"/>
  <c r="P41" i="1"/>
  <c r="L41" i="1"/>
  <c r="Y40" i="1"/>
  <c r="U40" i="1"/>
  <c r="Q40" i="1"/>
  <c r="M40" i="1"/>
  <c r="Z39" i="1"/>
  <c r="V39" i="1"/>
  <c r="R39" i="1"/>
  <c r="N39" i="1"/>
  <c r="J39" i="1"/>
  <c r="AA38" i="1"/>
  <c r="W38" i="1"/>
  <c r="S38" i="1"/>
  <c r="O38" i="1"/>
  <c r="K38" i="1"/>
  <c r="X37" i="1"/>
  <c r="T37" i="1"/>
  <c r="P37" i="1"/>
  <c r="L37" i="1"/>
  <c r="Y36" i="1"/>
  <c r="U36" i="1"/>
  <c r="Q36" i="1"/>
  <c r="M36" i="1"/>
  <c r="Z35" i="1"/>
  <c r="V35" i="1"/>
  <c r="R35" i="1"/>
  <c r="N35" i="1"/>
  <c r="J35" i="1"/>
  <c r="AA34" i="1"/>
  <c r="W34" i="1"/>
  <c r="S34" i="1"/>
  <c r="O34" i="1"/>
  <c r="K34" i="1"/>
  <c r="Z33" i="1"/>
  <c r="AA49" i="1"/>
  <c r="W49" i="1"/>
  <c r="S49" i="1"/>
  <c r="O49" i="1"/>
  <c r="K49" i="1"/>
  <c r="X48" i="1"/>
  <c r="T48" i="1"/>
  <c r="P48" i="1"/>
  <c r="L48" i="1"/>
  <c r="Y47" i="1"/>
  <c r="U47" i="1"/>
  <c r="Q47" i="1"/>
  <c r="M47" i="1"/>
  <c r="Z46" i="1"/>
  <c r="V46" i="1"/>
  <c r="R46" i="1"/>
  <c r="N46" i="1"/>
  <c r="J46" i="1"/>
  <c r="AA45" i="1"/>
  <c r="W45" i="1"/>
  <c r="S45" i="1"/>
  <c r="O45" i="1"/>
  <c r="K45" i="1"/>
  <c r="X44" i="1"/>
  <c r="T44" i="1"/>
  <c r="P44" i="1"/>
  <c r="L44" i="1"/>
  <c r="Y43" i="1"/>
  <c r="U43" i="1"/>
  <c r="Q43" i="1"/>
  <c r="M43" i="1"/>
  <c r="Z42" i="1"/>
  <c r="V42" i="1"/>
  <c r="R42" i="1"/>
  <c r="N42" i="1"/>
  <c r="J42" i="1"/>
  <c r="AA41" i="1"/>
  <c r="W41" i="1"/>
  <c r="S41" i="1"/>
  <c r="O41" i="1"/>
  <c r="K41" i="1"/>
  <c r="X40" i="1"/>
  <c r="T40" i="1"/>
  <c r="P40" i="1"/>
  <c r="L40" i="1"/>
  <c r="Y39" i="1"/>
  <c r="U39" i="1"/>
  <c r="Q39" i="1"/>
  <c r="M39" i="1"/>
  <c r="Z38" i="1"/>
  <c r="V38" i="1"/>
  <c r="R38" i="1"/>
  <c r="N38" i="1"/>
  <c r="J38" i="1"/>
  <c r="AA37" i="1"/>
  <c r="W37" i="1"/>
  <c r="S37" i="1"/>
  <c r="O37" i="1"/>
  <c r="K37" i="1"/>
  <c r="X36" i="1"/>
  <c r="T36" i="1"/>
  <c r="P36" i="1"/>
  <c r="L36" i="1"/>
  <c r="Y35" i="1"/>
  <c r="U35" i="1"/>
  <c r="Q35" i="1"/>
  <c r="M35" i="1"/>
  <c r="K28" i="1"/>
  <c r="H35" i="1" s="1"/>
  <c r="O28" i="1"/>
  <c r="H39" i="1" s="1"/>
  <c r="S28" i="1"/>
  <c r="H43" i="1" s="1"/>
  <c r="W28" i="1"/>
  <c r="H47" i="1" s="1"/>
  <c r="AA28" i="1"/>
  <c r="H51" i="1" s="1"/>
  <c r="M29" i="1"/>
  <c r="H38" i="1" s="1"/>
  <c r="Q29" i="1"/>
  <c r="H42" i="1" s="1"/>
  <c r="U29" i="1"/>
  <c r="H46" i="1" s="1"/>
  <c r="Y29" i="1"/>
  <c r="H50" i="1" s="1"/>
  <c r="K30" i="1"/>
  <c r="O30" i="1"/>
  <c r="S30" i="1"/>
  <c r="W30" i="1"/>
  <c r="AA30" i="1"/>
  <c r="M31" i="1"/>
  <c r="Q31" i="1"/>
  <c r="U31" i="1"/>
  <c r="Y31" i="1"/>
  <c r="J32" i="1"/>
  <c r="N32" i="1"/>
  <c r="R32" i="1"/>
  <c r="V32" i="1"/>
  <c r="Z32" i="1"/>
  <c r="K33" i="1"/>
  <c r="Q33" i="1"/>
  <c r="V33" i="1"/>
  <c r="R34" i="1"/>
  <c r="L28" i="1"/>
  <c r="G37" i="1" s="1"/>
  <c r="P28" i="1"/>
  <c r="G41" i="1" s="1"/>
  <c r="T28" i="1"/>
  <c r="G45" i="1" s="1"/>
  <c r="X28" i="1"/>
  <c r="G49" i="1" s="1"/>
  <c r="J29" i="1"/>
  <c r="G36" i="1" s="1"/>
  <c r="N29" i="1"/>
  <c r="G40" i="1" s="1"/>
  <c r="R29" i="1"/>
  <c r="G44" i="1" s="1"/>
  <c r="V29" i="1"/>
  <c r="G48" i="1" s="1"/>
  <c r="Z29" i="1"/>
  <c r="G52" i="1" s="1"/>
  <c r="L30" i="1"/>
  <c r="P30" i="1"/>
  <c r="T30" i="1"/>
  <c r="X30" i="1"/>
  <c r="J31" i="1"/>
  <c r="N31" i="1"/>
  <c r="R31" i="1"/>
  <c r="V31" i="1"/>
  <c r="Z31" i="1"/>
  <c r="K32" i="1"/>
  <c r="O32" i="1"/>
  <c r="S32" i="1"/>
  <c r="W32" i="1"/>
  <c r="AA32" i="1"/>
  <c r="M33" i="1"/>
  <c r="R33" i="1"/>
  <c r="W33" i="1"/>
  <c r="J34" i="1"/>
  <c r="V34" i="1"/>
  <c r="M28" i="1"/>
  <c r="H37" i="1" s="1"/>
  <c r="Q28" i="1"/>
  <c r="H41" i="1" s="1"/>
  <c r="U28" i="1"/>
  <c r="H45" i="1" s="1"/>
  <c r="Y28" i="1"/>
  <c r="H49" i="1" s="1"/>
  <c r="K29" i="1"/>
  <c r="H36" i="1" s="1"/>
  <c r="O29" i="1"/>
  <c r="H40" i="1" s="1"/>
  <c r="S29" i="1"/>
  <c r="H44" i="1" s="1"/>
  <c r="W29" i="1"/>
  <c r="H48" i="1" s="1"/>
  <c r="AA29" i="1"/>
  <c r="H52" i="1" s="1"/>
  <c r="M30" i="1"/>
  <c r="Q30" i="1"/>
  <c r="U30" i="1"/>
  <c r="Y30" i="1"/>
  <c r="K31" i="1"/>
  <c r="O31" i="1"/>
  <c r="S31" i="1"/>
  <c r="W31" i="1"/>
  <c r="AA31" i="1"/>
  <c r="L32" i="1"/>
  <c r="P32" i="1"/>
  <c r="T32" i="1"/>
  <c r="X32" i="1"/>
  <c r="N33" i="1"/>
  <c r="S33" i="1"/>
  <c r="Y33" i="1"/>
  <c r="L34" i="1"/>
  <c r="Z34" i="1"/>
  <c r="E58" i="2"/>
  <c r="B58" i="2" s="1"/>
  <c r="D58" i="2"/>
  <c r="A58" i="2" s="1"/>
  <c r="X11" i="2"/>
  <c r="X12" i="2" s="1"/>
  <c r="K70" i="2"/>
  <c r="S70" i="2"/>
  <c r="K71" i="2"/>
  <c r="X34" i="2"/>
  <c r="X35" i="2" s="1"/>
  <c r="K68" i="2"/>
  <c r="P34" i="2"/>
  <c r="P35" i="2" s="1"/>
  <c r="O70" i="2"/>
  <c r="W70" i="2"/>
  <c r="O71" i="2"/>
  <c r="W71" i="2"/>
  <c r="AC54" i="2"/>
  <c r="AC62" i="2"/>
  <c r="P11" i="2"/>
  <c r="P12" i="2" s="1"/>
  <c r="P13" i="2" s="1"/>
  <c r="P14" i="2" s="1"/>
  <c r="T34" i="2"/>
  <c r="T35" i="2" s="1"/>
  <c r="P70" i="2"/>
  <c r="X70" i="2"/>
  <c r="Q71" i="2"/>
  <c r="Y71" i="2"/>
  <c r="AC60" i="2"/>
  <c r="AA70" i="2"/>
  <c r="S71" i="2"/>
  <c r="AA71" i="2"/>
  <c r="AC58" i="2"/>
  <c r="L34" i="2"/>
  <c r="L35" i="2" s="1"/>
  <c r="AB34" i="2"/>
  <c r="AB35" i="2" s="1"/>
  <c r="L70" i="2"/>
  <c r="T70" i="2"/>
  <c r="M71" i="2"/>
  <c r="U71" i="2"/>
  <c r="AC56" i="2"/>
  <c r="AC64" i="2"/>
  <c r="T30" i="2"/>
  <c r="T31" i="2" s="1"/>
  <c r="T32" i="2" s="1"/>
  <c r="U28" i="2"/>
  <c r="X30" i="2"/>
  <c r="X31" i="2" s="1"/>
  <c r="X37" i="2" s="1"/>
  <c r="Y28" i="2"/>
  <c r="P30" i="2"/>
  <c r="P31" i="2" s="1"/>
  <c r="P37" i="2" s="1"/>
  <c r="Q28" i="2"/>
  <c r="M28" i="2"/>
  <c r="L30" i="2"/>
  <c r="L31" i="2" s="1"/>
  <c r="L37" i="2" s="1"/>
  <c r="AJ25" i="2"/>
  <c r="AJ8" i="2"/>
  <c r="AI25" i="2"/>
  <c r="AI8" i="2"/>
  <c r="X13" i="2"/>
  <c r="X14" i="2" s="1"/>
  <c r="Z1" i="2" s="1"/>
  <c r="Y6" i="2" s="1"/>
  <c r="Y12" i="2"/>
  <c r="AB30" i="2"/>
  <c r="AB31" i="2" s="1"/>
  <c r="AB32" i="2" s="1"/>
  <c r="AC28" i="2"/>
  <c r="L11" i="2"/>
  <c r="L12" i="2" s="1"/>
  <c r="T11" i="2"/>
  <c r="T12" i="2" s="1"/>
  <c r="AB50" i="2"/>
  <c r="AB52" i="2"/>
  <c r="AC66" i="2"/>
  <c r="M68" i="2"/>
  <c r="AC68" i="2"/>
  <c r="L69" i="2"/>
  <c r="M70" i="2"/>
  <c r="Q70" i="2"/>
  <c r="BE48" i="2" s="1"/>
  <c r="U70" i="2"/>
  <c r="Y70" i="2"/>
  <c r="AC70" i="2"/>
  <c r="L71" i="2"/>
  <c r="P71" i="2"/>
  <c r="T71" i="2"/>
  <c r="X71" i="2"/>
  <c r="BN49" i="2" s="1"/>
  <c r="N11" i="2"/>
  <c r="N12" i="2" s="1"/>
  <c r="V11" i="2"/>
  <c r="V12" i="2" s="1"/>
  <c r="J28" i="2"/>
  <c r="J29" i="2" s="1"/>
  <c r="N28" i="2"/>
  <c r="N29" i="2" s="1"/>
  <c r="R28" i="2"/>
  <c r="R29" i="2" s="1"/>
  <c r="V28" i="2"/>
  <c r="V29" i="2" s="1"/>
  <c r="Z28" i="2"/>
  <c r="Z29" i="2" s="1"/>
  <c r="AC50" i="2"/>
  <c r="AC52" i="2"/>
  <c r="AB54" i="2"/>
  <c r="AB56" i="2"/>
  <c r="AB58" i="2"/>
  <c r="AB60" i="2"/>
  <c r="AB62" i="2"/>
  <c r="AB64" i="2"/>
  <c r="J68" i="2"/>
  <c r="N68" i="2"/>
  <c r="BC46" i="2" s="1"/>
  <c r="M69" i="2"/>
  <c r="J70" i="2"/>
  <c r="N70" i="2"/>
  <c r="R70" i="2"/>
  <c r="BG48" i="2" s="1"/>
  <c r="V70" i="2"/>
  <c r="BK48" i="2" s="1"/>
  <c r="Z70" i="2"/>
  <c r="N69" i="2"/>
  <c r="J71" i="2"/>
  <c r="N71" i="2"/>
  <c r="R71" i="2"/>
  <c r="V71" i="2"/>
  <c r="Z71" i="2"/>
  <c r="J11" i="2"/>
  <c r="J12" i="2" s="1"/>
  <c r="R11" i="2"/>
  <c r="R12" i="2" s="1"/>
  <c r="Z11" i="2"/>
  <c r="Z12" i="2" s="1"/>
  <c r="AB66" i="2"/>
  <c r="L68" i="2"/>
  <c r="AB68" i="2"/>
  <c r="K69" i="2"/>
  <c r="AY47" i="2" s="1"/>
  <c r="O69" i="2"/>
  <c r="B73" i="2"/>
  <c r="B70" i="2"/>
  <c r="BD23" i="2"/>
  <c r="AY18" i="2"/>
  <c r="AY12" i="2" s="1"/>
  <c r="D63" i="2" s="1"/>
  <c r="D69" i="2" s="1"/>
  <c r="BH19" i="2"/>
  <c r="BL19" i="2"/>
  <c r="BE24" i="2"/>
  <c r="BO18" i="2"/>
  <c r="BL23" i="2"/>
  <c r="BG18" i="2"/>
  <c r="AZ19" i="2"/>
  <c r="BP19" i="2"/>
  <c r="BC18" i="2"/>
  <c r="BM24" i="2"/>
  <c r="AK8" i="2"/>
  <c r="BK18" i="2"/>
  <c r="BD19" i="2"/>
  <c r="AK24" i="2"/>
  <c r="AK7" i="2"/>
  <c r="AZ18" i="2"/>
  <c r="AZ12" i="2" s="1"/>
  <c r="E63" i="2" s="1"/>
  <c r="BD18" i="2"/>
  <c r="BH18" i="2"/>
  <c r="BL18" i="2"/>
  <c r="BP18" i="2"/>
  <c r="BA19" i="2"/>
  <c r="BE19" i="2"/>
  <c r="BI19" i="2"/>
  <c r="BM19" i="2"/>
  <c r="BF23" i="2"/>
  <c r="BN23" i="2"/>
  <c r="AY24" i="2"/>
  <c r="BG24" i="2"/>
  <c r="BO24" i="2"/>
  <c r="AG7" i="2"/>
  <c r="AL7" i="2"/>
  <c r="AI12" i="2"/>
  <c r="BA18" i="2"/>
  <c r="BE18" i="2"/>
  <c r="BI18" i="2"/>
  <c r="BM18" i="2"/>
  <c r="BB19" i="2"/>
  <c r="BF19" i="2"/>
  <c r="BJ19" i="2"/>
  <c r="BN19" i="2"/>
  <c r="AZ23" i="2"/>
  <c r="BH23" i="2"/>
  <c r="BP23" i="2"/>
  <c r="BA24" i="2"/>
  <c r="BI24" i="2"/>
  <c r="AH7" i="2"/>
  <c r="AJ12" i="2"/>
  <c r="BB18" i="2"/>
  <c r="BF18" i="2"/>
  <c r="BJ18" i="2"/>
  <c r="BN18" i="2"/>
  <c r="AY19" i="2"/>
  <c r="BC19" i="2"/>
  <c r="BG19" i="2"/>
  <c r="BK19" i="2"/>
  <c r="BO19" i="2"/>
  <c r="BB23" i="2"/>
  <c r="BJ23" i="2"/>
  <c r="BC24" i="2"/>
  <c r="BK24" i="2"/>
  <c r="BA23" i="2"/>
  <c r="BE23" i="2"/>
  <c r="BI23" i="2"/>
  <c r="BM23" i="2"/>
  <c r="AZ24" i="2"/>
  <c r="BD24" i="2"/>
  <c r="BH24" i="2"/>
  <c r="BL24" i="2"/>
  <c r="BP24" i="2"/>
  <c r="AL25" i="2"/>
  <c r="BM49" i="2"/>
  <c r="E31" i="2"/>
  <c r="AY23" i="2"/>
  <c r="BC23" i="2"/>
  <c r="BG23" i="2"/>
  <c r="BK23" i="2"/>
  <c r="BO23" i="2"/>
  <c r="AL24" i="2"/>
  <c r="BB24" i="2"/>
  <c r="BF24" i="2"/>
  <c r="BJ24" i="2"/>
  <c r="BN24" i="2"/>
  <c r="AK25" i="2"/>
  <c r="AK1" i="2"/>
  <c r="AK5" i="2" s="1"/>
  <c r="AI9" i="2" s="1"/>
  <c r="B38" i="2"/>
  <c r="L32" i="2"/>
  <c r="AE3" i="2"/>
  <c r="X15" i="2"/>
  <c r="AE5" i="2"/>
  <c r="AY46" i="2" l="1"/>
  <c r="BH49" i="2"/>
  <c r="AY48" i="2"/>
  <c r="BJ49" i="2"/>
  <c r="BC49" i="2"/>
  <c r="C47" i="2"/>
  <c r="R1" i="2"/>
  <c r="Q6" i="2" s="1"/>
  <c r="P20" i="2"/>
  <c r="Q12" i="2"/>
  <c r="T37" i="2"/>
  <c r="BC48" i="2"/>
  <c r="P32" i="2"/>
  <c r="BA49" i="2"/>
  <c r="BI49" i="2"/>
  <c r="BA47" i="2"/>
  <c r="BE49" i="2"/>
  <c r="BF48" i="2"/>
  <c r="P15" i="2"/>
  <c r="X20" i="2"/>
  <c r="X32" i="2"/>
  <c r="BH48" i="2"/>
  <c r="BJ48" i="2"/>
  <c r="AB37" i="2"/>
  <c r="BF49" i="2"/>
  <c r="BB49" i="2"/>
  <c r="BO48" i="2"/>
  <c r="BM48" i="2"/>
  <c r="BI48" i="2"/>
  <c r="BA46" i="2"/>
  <c r="AL8" i="2"/>
  <c r="BN48" i="2"/>
  <c r="AZ46" i="2"/>
  <c r="BB48" i="2"/>
  <c r="AZ48" i="2"/>
  <c r="BA48" i="2"/>
  <c r="BL48" i="2"/>
  <c r="BD49" i="2"/>
  <c r="BO49" i="2"/>
  <c r="AZ49" i="2"/>
  <c r="BK49" i="2"/>
  <c r="BB47" i="2"/>
  <c r="BD46" i="2"/>
  <c r="BB46" i="2"/>
  <c r="BG49" i="2"/>
  <c r="BP48" i="2"/>
  <c r="F69" i="2"/>
  <c r="BD47" i="2"/>
  <c r="BC47" i="2"/>
  <c r="AY49" i="2"/>
  <c r="F64" i="2"/>
  <c r="BP49" i="2"/>
  <c r="BD48" i="2"/>
  <c r="AZ47" i="2"/>
  <c r="BL49" i="2"/>
  <c r="S12" i="2"/>
  <c r="R13" i="2"/>
  <c r="R14" i="2" s="1"/>
  <c r="V30" i="2"/>
  <c r="V31" i="2" s="1"/>
  <c r="W28" i="2"/>
  <c r="V13" i="2"/>
  <c r="V14" i="2" s="1"/>
  <c r="W12" i="2"/>
  <c r="U12" i="2"/>
  <c r="T13" i="2"/>
  <c r="T14" i="2" s="1"/>
  <c r="A50" i="2"/>
  <c r="A47" i="2"/>
  <c r="A52" i="2" s="1"/>
  <c r="K12" i="2"/>
  <c r="J13" i="2"/>
  <c r="R30" i="2"/>
  <c r="R31" i="2" s="1"/>
  <c r="S28" i="2"/>
  <c r="O12" i="2"/>
  <c r="N13" i="2"/>
  <c r="N14" i="2" s="1"/>
  <c r="M12" i="2"/>
  <c r="L13" i="2"/>
  <c r="L14" i="2" s="1"/>
  <c r="AA12" i="2"/>
  <c r="Z13" i="2"/>
  <c r="Z14" i="2" s="1"/>
  <c r="N30" i="2"/>
  <c r="N31" i="2" s="1"/>
  <c r="O28" i="2"/>
  <c r="Z30" i="2"/>
  <c r="Z31" i="2" s="1"/>
  <c r="AA28" i="2"/>
  <c r="J30" i="2"/>
  <c r="J31" i="2" s="1"/>
  <c r="K28" i="2"/>
  <c r="B47" i="2"/>
  <c r="B48" i="2" s="1"/>
  <c r="B49" i="2" s="1"/>
  <c r="B50" i="2" s="1"/>
  <c r="E69" i="2"/>
  <c r="E64" i="2"/>
  <c r="B39" i="2"/>
  <c r="B40" i="2"/>
  <c r="B41" i="2" s="1"/>
  <c r="AJ26" i="2"/>
  <c r="AI26" i="2"/>
  <c r="AJ9" i="2"/>
  <c r="AL9" i="2" s="1"/>
  <c r="AE9" i="2"/>
  <c r="AG14" i="2" s="1"/>
  <c r="X26" i="2"/>
  <c r="Y26" i="2"/>
  <c r="Y9" i="2"/>
  <c r="X9" i="2"/>
  <c r="F47" i="2"/>
  <c r="AF8" i="2"/>
  <c r="AE8" i="2"/>
  <c r="P26" i="2"/>
  <c r="Q26" i="2"/>
  <c r="Q9" i="2"/>
  <c r="P9" i="2"/>
  <c r="AF9" i="2"/>
  <c r="AH14" i="2" s="1"/>
  <c r="C52" i="2" l="1"/>
  <c r="A59" i="2" s="1"/>
  <c r="E65" i="2"/>
  <c r="E70" i="2"/>
  <c r="E71" i="2" s="1"/>
  <c r="Z32" i="2"/>
  <c r="Z37" i="2"/>
  <c r="T20" i="2"/>
  <c r="V1" i="2"/>
  <c r="U6" i="2" s="1"/>
  <c r="T15" i="2"/>
  <c r="L20" i="2"/>
  <c r="N1" i="2"/>
  <c r="M6" i="2" s="1"/>
  <c r="L15" i="2"/>
  <c r="V32" i="2"/>
  <c r="V37" i="2"/>
  <c r="J37" i="2"/>
  <c r="J32" i="2"/>
  <c r="T1" i="2"/>
  <c r="S6" i="2" s="1"/>
  <c r="R15" i="2"/>
  <c r="R20" i="2"/>
  <c r="N37" i="2"/>
  <c r="N32" i="2"/>
  <c r="R37" i="2"/>
  <c r="R32" i="2"/>
  <c r="AB1" i="2"/>
  <c r="AA6" i="2" s="1"/>
  <c r="Z15" i="2"/>
  <c r="Z20" i="2"/>
  <c r="P1" i="2"/>
  <c r="O6" i="2" s="1"/>
  <c r="N20" i="2"/>
  <c r="N15" i="2"/>
  <c r="J14" i="2"/>
  <c r="K13" i="2"/>
  <c r="X1" i="2"/>
  <c r="W6" i="2" s="1"/>
  <c r="V15" i="2"/>
  <c r="V20" i="2"/>
  <c r="B52" i="2"/>
  <c r="AI10" i="2"/>
  <c r="AL10" i="2" s="1"/>
  <c r="AK26" i="2"/>
  <c r="AK9" i="2"/>
  <c r="AI27" i="2"/>
  <c r="AK27" i="2" s="1"/>
  <c r="AL26" i="2"/>
  <c r="AG9" i="2"/>
  <c r="AE10" i="2"/>
  <c r="AH10" i="2" s="1"/>
  <c r="Y41" i="2"/>
  <c r="Q42" i="2"/>
  <c r="AE11" i="2"/>
  <c r="AE12" i="2" s="1"/>
  <c r="AH8" i="2"/>
  <c r="AG8" i="2"/>
  <c r="AG13" i="2"/>
  <c r="Y42" i="2"/>
  <c r="Q40" i="2"/>
  <c r="P27" i="2"/>
  <c r="P46" i="2" s="1"/>
  <c r="Q48" i="2" s="1"/>
  <c r="BF25" i="2"/>
  <c r="BE25" i="2"/>
  <c r="AE16" i="2"/>
  <c r="AE19" i="2" s="1"/>
  <c r="AH13" i="2"/>
  <c r="AE21" i="2"/>
  <c r="AE17" i="2"/>
  <c r="AH9" i="2"/>
  <c r="Y40" i="2"/>
  <c r="X27" i="2"/>
  <c r="BN25" i="2"/>
  <c r="BM25" i="2"/>
  <c r="Q41" i="2"/>
  <c r="AJ14" i="2"/>
  <c r="AI14" i="2"/>
  <c r="Q39" i="2"/>
  <c r="BE20" i="2"/>
  <c r="BF20" i="2"/>
  <c r="P10" i="2"/>
  <c r="Y39" i="2"/>
  <c r="BM20" i="2"/>
  <c r="BN20" i="2"/>
  <c r="X10" i="2"/>
  <c r="AL27" i="2" l="1"/>
  <c r="B53" i="2"/>
  <c r="B54" i="2" s="1"/>
  <c r="Q69" i="2"/>
  <c r="AK10" i="2"/>
  <c r="W9" i="2"/>
  <c r="W26" i="2"/>
  <c r="V26" i="2"/>
  <c r="V9" i="2"/>
  <c r="Z9" i="2"/>
  <c r="Z26" i="2"/>
  <c r="AA9" i="2"/>
  <c r="AA26" i="2"/>
  <c r="T26" i="2"/>
  <c r="U9" i="2"/>
  <c r="T9" i="2"/>
  <c r="U26" i="2"/>
  <c r="N26" i="2"/>
  <c r="O9" i="2"/>
  <c r="O26" i="2"/>
  <c r="N9" i="2"/>
  <c r="L26" i="2"/>
  <c r="L9" i="2"/>
  <c r="M26" i="2"/>
  <c r="M9" i="2"/>
  <c r="L1" i="2"/>
  <c r="K6" i="2" s="1"/>
  <c r="J20" i="2"/>
  <c r="J15" i="2"/>
  <c r="R9" i="2"/>
  <c r="R26" i="2"/>
  <c r="S9" i="2"/>
  <c r="S26" i="2"/>
  <c r="AG15" i="2"/>
  <c r="AJ15" i="2" s="1"/>
  <c r="AG10" i="2"/>
  <c r="AE18" i="2"/>
  <c r="AA23" i="2" s="1"/>
  <c r="AI13" i="2"/>
  <c r="AJ13" i="2"/>
  <c r="X41" i="2"/>
  <c r="BM21" i="2"/>
  <c r="BN21" i="2"/>
  <c r="X45" i="2"/>
  <c r="P43" i="2"/>
  <c r="P64" i="2" s="1"/>
  <c r="Q43" i="2"/>
  <c r="Q62" i="2" s="1"/>
  <c r="Q44" i="2"/>
  <c r="Q67" i="2" s="1"/>
  <c r="P44" i="2"/>
  <c r="P41" i="2"/>
  <c r="BE21" i="2"/>
  <c r="BF21" i="2"/>
  <c r="P45" i="2"/>
  <c r="P42" i="2"/>
  <c r="BE26" i="2"/>
  <c r="BF26" i="2"/>
  <c r="Y44" i="2"/>
  <c r="Y63" i="2" s="1"/>
  <c r="X44" i="2"/>
  <c r="X63" i="2" s="1"/>
  <c r="Y43" i="2"/>
  <c r="Y64" i="2" s="1"/>
  <c r="X43" i="2"/>
  <c r="X60" i="2" s="1"/>
  <c r="X42" i="2"/>
  <c r="BN26" i="2"/>
  <c r="BM26" i="2"/>
  <c r="Q55" i="2"/>
  <c r="Q53" i="2"/>
  <c r="Q51" i="2"/>
  <c r="X46" i="2"/>
  <c r="Y48" i="2" s="1"/>
  <c r="AF12" i="2"/>
  <c r="AE13" i="2"/>
  <c r="AE14" i="2" s="1"/>
  <c r="P68" i="2" l="1"/>
  <c r="Y68" i="2"/>
  <c r="X69" i="2"/>
  <c r="Y69" i="2"/>
  <c r="X68" i="2"/>
  <c r="M41" i="2"/>
  <c r="AA42" i="2"/>
  <c r="Z44" i="2" s="1"/>
  <c r="AI15" i="2"/>
  <c r="Y57" i="2"/>
  <c r="W41" i="2"/>
  <c r="W43" i="2" s="1"/>
  <c r="S39" i="2"/>
  <c r="BH20" i="2"/>
  <c r="R10" i="2"/>
  <c r="R45" i="2" s="1"/>
  <c r="BG20" i="2"/>
  <c r="BC20" i="2"/>
  <c r="O39" i="2"/>
  <c r="BD20" i="2"/>
  <c r="N10" i="2"/>
  <c r="U42" i="2"/>
  <c r="W39" i="2"/>
  <c r="BK20" i="2"/>
  <c r="V10" i="2"/>
  <c r="BL20" i="2"/>
  <c r="S42" i="2"/>
  <c r="M42" i="2"/>
  <c r="O42" i="2"/>
  <c r="T10" i="2"/>
  <c r="BJ20" i="2"/>
  <c r="U39" i="2"/>
  <c r="BI20" i="2"/>
  <c r="AA41" i="2"/>
  <c r="W40" i="2"/>
  <c r="V27" i="2"/>
  <c r="BK25" i="2"/>
  <c r="BL25" i="2"/>
  <c r="S41" i="2"/>
  <c r="BA20" i="2"/>
  <c r="L10" i="2"/>
  <c r="BB20" i="2"/>
  <c r="M39" i="2"/>
  <c r="O41" i="2"/>
  <c r="U41" i="2"/>
  <c r="Z27" i="2"/>
  <c r="BP25" i="2"/>
  <c r="AA40" i="2"/>
  <c r="BO25" i="2"/>
  <c r="W42" i="2"/>
  <c r="BH25" i="2"/>
  <c r="R27" i="2"/>
  <c r="BG25" i="2"/>
  <c r="S40" i="2"/>
  <c r="J9" i="2"/>
  <c r="K9" i="2"/>
  <c r="K26" i="2"/>
  <c r="J26" i="2"/>
  <c r="BA25" i="2"/>
  <c r="M40" i="2"/>
  <c r="L27" i="2"/>
  <c r="BB25" i="2"/>
  <c r="BC25" i="2"/>
  <c r="N27" i="2"/>
  <c r="BD25" i="2"/>
  <c r="O40" i="2"/>
  <c r="BI25" i="2"/>
  <c r="BJ25" i="2"/>
  <c r="U40" i="2"/>
  <c r="T27" i="2"/>
  <c r="Z10" i="2"/>
  <c r="AA39" i="2"/>
  <c r="BO20" i="2"/>
  <c r="BP20" i="2"/>
  <c r="P63" i="2"/>
  <c r="Q57" i="2"/>
  <c r="Q61" i="2"/>
  <c r="X62" i="2"/>
  <c r="P61" i="2"/>
  <c r="Q58" i="2"/>
  <c r="Q63" i="2"/>
  <c r="Q65" i="2"/>
  <c r="Q64" i="2"/>
  <c r="BE42" i="2" s="1"/>
  <c r="Q59" i="2"/>
  <c r="X58" i="2"/>
  <c r="Y65" i="2"/>
  <c r="X64" i="2"/>
  <c r="BN42" i="2" s="1"/>
  <c r="Q60" i="2"/>
  <c r="BN41" i="2"/>
  <c r="BM41" i="2"/>
  <c r="AE20" i="2"/>
  <c r="AE15" i="2"/>
  <c r="Y60" i="2"/>
  <c r="BN38" i="2" s="1"/>
  <c r="P66" i="2"/>
  <c r="P59" i="2"/>
  <c r="P65" i="2"/>
  <c r="Y66" i="2"/>
  <c r="Y58" i="2"/>
  <c r="X66" i="2"/>
  <c r="X48" i="2"/>
  <c r="Y47" i="2"/>
  <c r="X47" i="2"/>
  <c r="P60" i="2"/>
  <c r="X59" i="2"/>
  <c r="X67" i="2"/>
  <c r="Y59" i="2"/>
  <c r="Y67" i="2"/>
  <c r="Y62" i="2"/>
  <c r="X65" i="2"/>
  <c r="P58" i="2"/>
  <c r="P62" i="2"/>
  <c r="X61" i="2"/>
  <c r="Y53" i="2"/>
  <c r="Y61" i="2"/>
  <c r="Y55" i="2"/>
  <c r="P48" i="2"/>
  <c r="Q47" i="2"/>
  <c r="P47" i="2"/>
  <c r="Y51" i="2"/>
  <c r="AA44" i="2" l="1"/>
  <c r="BN47" i="2"/>
  <c r="V43" i="2"/>
  <c r="V64" i="2" s="1"/>
  <c r="BM47" i="2"/>
  <c r="Q66" i="2"/>
  <c r="BF44" i="2" s="1"/>
  <c r="Q68" i="2"/>
  <c r="BF46" i="2" s="1"/>
  <c r="P67" i="2"/>
  <c r="BE45" i="2" s="1"/>
  <c r="P69" i="2"/>
  <c r="W68" i="2"/>
  <c r="BN46" i="2"/>
  <c r="BM46" i="2"/>
  <c r="Z69" i="2"/>
  <c r="AA69" i="2"/>
  <c r="BN40" i="2"/>
  <c r="W60" i="2"/>
  <c r="BF41" i="2"/>
  <c r="L43" i="2"/>
  <c r="L64" i="2" s="1"/>
  <c r="M43" i="2"/>
  <c r="M58" i="2" s="1"/>
  <c r="K42" i="2"/>
  <c r="Z45" i="2"/>
  <c r="Z41" i="2"/>
  <c r="BP21" i="2"/>
  <c r="BO21" i="2"/>
  <c r="K39" i="2"/>
  <c r="AZ20" i="2"/>
  <c r="J10" i="2"/>
  <c r="AY20" i="2"/>
  <c r="S43" i="2"/>
  <c r="S60" i="2" s="1"/>
  <c r="R43" i="2"/>
  <c r="R68" i="2" s="1"/>
  <c r="O44" i="2"/>
  <c r="O65" i="2" s="1"/>
  <c r="N44" i="2"/>
  <c r="N59" i="2" s="1"/>
  <c r="V45" i="2"/>
  <c r="BL21" i="2"/>
  <c r="V41" i="2"/>
  <c r="BK21" i="2"/>
  <c r="Z65" i="2"/>
  <c r="BG21" i="2"/>
  <c r="R41" i="2"/>
  <c r="BH21" i="2"/>
  <c r="BJ26" i="2"/>
  <c r="T42" i="2"/>
  <c r="BI26" i="2"/>
  <c r="N61" i="2"/>
  <c r="AZ25" i="2"/>
  <c r="J27" i="2"/>
  <c r="AY25" i="2"/>
  <c r="K40" i="2"/>
  <c r="V44" i="2"/>
  <c r="V67" i="2" s="1"/>
  <c r="W44" i="2"/>
  <c r="W67" i="2" s="1"/>
  <c r="Z46" i="2"/>
  <c r="AA48" i="2" s="1"/>
  <c r="AA55" i="2" s="1"/>
  <c r="BP26" i="2"/>
  <c r="Z42" i="2"/>
  <c r="BO26" i="2"/>
  <c r="R48" i="2"/>
  <c r="R55" i="2" s="1"/>
  <c r="R47" i="2"/>
  <c r="R52" i="2" s="1"/>
  <c r="S47" i="2"/>
  <c r="S56" i="2" s="1"/>
  <c r="V46" i="2"/>
  <c r="W48" i="2" s="1"/>
  <c r="W51" i="2" s="1"/>
  <c r="V42" i="2"/>
  <c r="BL26" i="2"/>
  <c r="BK26" i="2"/>
  <c r="L44" i="2"/>
  <c r="M44" i="2"/>
  <c r="T46" i="2"/>
  <c r="U48" i="2" s="1"/>
  <c r="U55" i="2" s="1"/>
  <c r="L46" i="2"/>
  <c r="M48" i="2" s="1"/>
  <c r="L42" i="2"/>
  <c r="BB26" i="2"/>
  <c r="BA26" i="2"/>
  <c r="J44" i="2"/>
  <c r="K44" i="2"/>
  <c r="U43" i="2"/>
  <c r="U68" i="2" s="1"/>
  <c r="T43" i="2"/>
  <c r="T68" i="2" s="1"/>
  <c r="BA21" i="2"/>
  <c r="BB21" i="2"/>
  <c r="L41" i="2"/>
  <c r="L45" i="2"/>
  <c r="S44" i="2"/>
  <c r="S61" i="2" s="1"/>
  <c r="R44" i="2"/>
  <c r="R65" i="2" s="1"/>
  <c r="W62" i="2"/>
  <c r="W58" i="2"/>
  <c r="W64" i="2"/>
  <c r="V60" i="2"/>
  <c r="W66" i="2"/>
  <c r="V62" i="2"/>
  <c r="V66" i="2"/>
  <c r="V58" i="2"/>
  <c r="U44" i="2"/>
  <c r="U69" i="2" s="1"/>
  <c r="T44" i="2"/>
  <c r="T69" i="2" s="1"/>
  <c r="R64" i="2"/>
  <c r="S64" i="2"/>
  <c r="S62" i="2"/>
  <c r="S66" i="2"/>
  <c r="S58" i="2"/>
  <c r="BF42" i="2"/>
  <c r="N46" i="2"/>
  <c r="O48" i="2" s="1"/>
  <c r="O55" i="2" s="1"/>
  <c r="BC26" i="2"/>
  <c r="BD26" i="2"/>
  <c r="N42" i="2"/>
  <c r="K41" i="2"/>
  <c r="R46" i="2"/>
  <c r="S48" i="2" s="1"/>
  <c r="S53" i="2" s="1"/>
  <c r="BG26" i="2"/>
  <c r="R42" i="2"/>
  <c r="BH26" i="2"/>
  <c r="Z59" i="2"/>
  <c r="Z67" i="2"/>
  <c r="AA67" i="2"/>
  <c r="AA61" i="2"/>
  <c r="Z63" i="2"/>
  <c r="Z61" i="2"/>
  <c r="AA63" i="2"/>
  <c r="AA59" i="2"/>
  <c r="N43" i="2"/>
  <c r="N64" i="2" s="1"/>
  <c r="O43" i="2"/>
  <c r="O64" i="2" s="1"/>
  <c r="AA43" i="2"/>
  <c r="AA60" i="2" s="1"/>
  <c r="Z43" i="2"/>
  <c r="Z66" i="2" s="1"/>
  <c r="T45" i="2"/>
  <c r="BI21" i="2"/>
  <c r="T41" i="2"/>
  <c r="BJ21" i="2"/>
  <c r="AA65" i="2"/>
  <c r="N45" i="2"/>
  <c r="BC21" i="2"/>
  <c r="BD21" i="2"/>
  <c r="N41" i="2"/>
  <c r="BE41" i="2"/>
  <c r="BM42" i="2"/>
  <c r="BN36" i="2"/>
  <c r="BE39" i="2"/>
  <c r="BM36" i="2"/>
  <c r="BF39" i="2"/>
  <c r="BM38" i="2"/>
  <c r="P54" i="2"/>
  <c r="P52" i="2"/>
  <c r="P56" i="2"/>
  <c r="P50" i="2"/>
  <c r="BN39" i="2"/>
  <c r="BM39" i="2"/>
  <c r="BN45" i="2"/>
  <c r="BM45" i="2"/>
  <c r="BF38" i="2"/>
  <c r="BE38" i="2"/>
  <c r="BF36" i="2"/>
  <c r="BE36" i="2"/>
  <c r="BN43" i="2"/>
  <c r="BM43" i="2"/>
  <c r="BM37" i="2"/>
  <c r="BN37" i="2"/>
  <c r="X52" i="2"/>
  <c r="X56" i="2"/>
  <c r="X50" i="2"/>
  <c r="X54" i="2"/>
  <c r="BF43" i="2"/>
  <c r="BE43" i="2"/>
  <c r="Q50" i="2"/>
  <c r="Q56" i="2"/>
  <c r="Q54" i="2"/>
  <c r="Q52" i="2"/>
  <c r="BF40" i="2"/>
  <c r="BE40" i="2"/>
  <c r="P55" i="2"/>
  <c r="P53" i="2"/>
  <c r="P51" i="2"/>
  <c r="P57" i="2"/>
  <c r="Y52" i="2"/>
  <c r="Y50" i="2"/>
  <c r="Y56" i="2"/>
  <c r="Y54" i="2"/>
  <c r="BE37" i="2"/>
  <c r="BF37" i="2"/>
  <c r="BM40" i="2"/>
  <c r="X55" i="2"/>
  <c r="X51" i="2"/>
  <c r="X57" i="2"/>
  <c r="X53" i="2"/>
  <c r="BN44" i="2"/>
  <c r="BM44" i="2"/>
  <c r="BK42" i="2" l="1"/>
  <c r="BE44" i="2"/>
  <c r="R58" i="2"/>
  <c r="R60" i="2"/>
  <c r="BG38" i="2" s="1"/>
  <c r="AA57" i="2"/>
  <c r="AA51" i="2"/>
  <c r="V68" i="2"/>
  <c r="BL46" i="2" s="1"/>
  <c r="AA53" i="2"/>
  <c r="R62" i="2"/>
  <c r="BG40" i="2" s="1"/>
  <c r="R66" i="2"/>
  <c r="N65" i="2"/>
  <c r="BE46" i="2"/>
  <c r="W57" i="2"/>
  <c r="W53" i="2"/>
  <c r="L62" i="2"/>
  <c r="U57" i="2"/>
  <c r="N67" i="2"/>
  <c r="R56" i="2"/>
  <c r="BG34" i="2" s="1"/>
  <c r="K65" i="2"/>
  <c r="N63" i="2"/>
  <c r="BF45" i="2"/>
  <c r="S68" i="2"/>
  <c r="BH46" i="2" s="1"/>
  <c r="R54" i="2"/>
  <c r="J61" i="2"/>
  <c r="M67" i="2"/>
  <c r="BF47" i="2"/>
  <c r="BE47" i="2"/>
  <c r="S69" i="2"/>
  <c r="R69" i="2"/>
  <c r="BJ46" i="2"/>
  <c r="BI46" i="2"/>
  <c r="BI47" i="2"/>
  <c r="BJ47" i="2"/>
  <c r="W61" i="2"/>
  <c r="W55" i="2"/>
  <c r="Z68" i="2"/>
  <c r="W65" i="2"/>
  <c r="W59" i="2"/>
  <c r="K67" i="2"/>
  <c r="J67" i="2"/>
  <c r="BO47" i="2"/>
  <c r="BP47" i="2"/>
  <c r="AA68" i="2"/>
  <c r="W63" i="2"/>
  <c r="W69" i="2"/>
  <c r="V69" i="2"/>
  <c r="M53" i="2"/>
  <c r="O61" i="2"/>
  <c r="BC39" i="2" s="1"/>
  <c r="O59" i="2"/>
  <c r="BD37" i="2" s="1"/>
  <c r="O63" i="2"/>
  <c r="L60" i="2"/>
  <c r="M62" i="2"/>
  <c r="L66" i="2"/>
  <c r="V63" i="2"/>
  <c r="M64" i="2"/>
  <c r="BB42" i="2" s="1"/>
  <c r="S50" i="2"/>
  <c r="V59" i="2"/>
  <c r="L58" i="2"/>
  <c r="S52" i="2"/>
  <c r="BH30" i="2" s="1"/>
  <c r="M60" i="2"/>
  <c r="M55" i="2"/>
  <c r="V61" i="2"/>
  <c r="S59" i="2"/>
  <c r="S54" i="2"/>
  <c r="M51" i="2"/>
  <c r="BH44" i="2"/>
  <c r="V65" i="2"/>
  <c r="O57" i="2"/>
  <c r="Z62" i="2"/>
  <c r="AA66" i="2"/>
  <c r="BO44" i="2" s="1"/>
  <c r="S67" i="2"/>
  <c r="O67" i="2"/>
  <c r="K43" i="2"/>
  <c r="K60" i="2" s="1"/>
  <c r="J43" i="2"/>
  <c r="J62" i="2" s="1"/>
  <c r="BO39" i="2"/>
  <c r="BP39" i="2"/>
  <c r="BP45" i="2"/>
  <c r="BO45" i="2"/>
  <c r="AA64" i="2"/>
  <c r="Z58" i="2"/>
  <c r="BH42" i="2"/>
  <c r="BG42" i="2"/>
  <c r="U67" i="2"/>
  <c r="U59" i="2"/>
  <c r="U65" i="2"/>
  <c r="BL40" i="2"/>
  <c r="BK40" i="2"/>
  <c r="U53" i="2"/>
  <c r="O60" i="2"/>
  <c r="M65" i="2"/>
  <c r="M59" i="2"/>
  <c r="M63" i="2"/>
  <c r="M61" i="2"/>
  <c r="M57" i="2"/>
  <c r="S63" i="2"/>
  <c r="S57" i="2"/>
  <c r="R63" i="2"/>
  <c r="S51" i="2"/>
  <c r="J46" i="2"/>
  <c r="K48" i="2" s="1"/>
  <c r="K51" i="2" s="1"/>
  <c r="AZ26" i="2"/>
  <c r="AY26" i="2"/>
  <c r="J42" i="2"/>
  <c r="O51" i="2"/>
  <c r="BO43" i="2"/>
  <c r="BP43" i="2"/>
  <c r="W47" i="2"/>
  <c r="W56" i="2" s="1"/>
  <c r="V47" i="2"/>
  <c r="V56" i="2" s="1"/>
  <c r="V48" i="2"/>
  <c r="V57" i="2" s="1"/>
  <c r="AA47" i="2"/>
  <c r="AA56" i="2" s="1"/>
  <c r="Z48" i="2"/>
  <c r="Z57" i="2" s="1"/>
  <c r="Z47" i="2"/>
  <c r="Z56" i="2" s="1"/>
  <c r="U63" i="2"/>
  <c r="BP41" i="2"/>
  <c r="BO41" i="2"/>
  <c r="BO37" i="2"/>
  <c r="BP37" i="2"/>
  <c r="AA62" i="2"/>
  <c r="AA58" i="2"/>
  <c r="R50" i="2"/>
  <c r="BH38" i="2"/>
  <c r="BH36" i="2"/>
  <c r="BG36" i="2"/>
  <c r="BK36" i="2"/>
  <c r="BL36" i="2"/>
  <c r="M47" i="2"/>
  <c r="L47" i="2"/>
  <c r="L56" i="2" s="1"/>
  <c r="L48" i="2"/>
  <c r="T62" i="2"/>
  <c r="T64" i="2"/>
  <c r="T60" i="2"/>
  <c r="T66" i="2"/>
  <c r="T58" i="2"/>
  <c r="U51" i="2"/>
  <c r="N66" i="2"/>
  <c r="O58" i="2"/>
  <c r="L63" i="2"/>
  <c r="L65" i="2"/>
  <c r="L61" i="2"/>
  <c r="L59" i="2"/>
  <c r="R53" i="2"/>
  <c r="R59" i="2"/>
  <c r="R51" i="2"/>
  <c r="S55" i="2"/>
  <c r="BH33" i="2" s="1"/>
  <c r="O53" i="2"/>
  <c r="BL42" i="2"/>
  <c r="U47" i="2"/>
  <c r="U56" i="2" s="1"/>
  <c r="T48" i="2"/>
  <c r="T57" i="2" s="1"/>
  <c r="T47" i="2"/>
  <c r="T56" i="2" s="1"/>
  <c r="T65" i="2"/>
  <c r="T59" i="2"/>
  <c r="T61" i="2"/>
  <c r="T63" i="2"/>
  <c r="N47" i="2"/>
  <c r="N56" i="2" s="1"/>
  <c r="N48" i="2"/>
  <c r="N57" i="2" s="1"/>
  <c r="O47" i="2"/>
  <c r="O56" i="2" s="1"/>
  <c r="Z64" i="2"/>
  <c r="Z60" i="2"/>
  <c r="BG44" i="2"/>
  <c r="BL44" i="2"/>
  <c r="BK44" i="2"/>
  <c r="BK38" i="2"/>
  <c r="BL38" i="2"/>
  <c r="U62" i="2"/>
  <c r="U66" i="2"/>
  <c r="U60" i="2"/>
  <c r="U64" i="2"/>
  <c r="U58" i="2"/>
  <c r="N60" i="2"/>
  <c r="N62" i="2"/>
  <c r="O62" i="2"/>
  <c r="O66" i="2"/>
  <c r="BK45" i="2"/>
  <c r="BL45" i="2"/>
  <c r="R61" i="2"/>
  <c r="R67" i="2"/>
  <c r="S65" i="2"/>
  <c r="BH43" i="2" s="1"/>
  <c r="K59" i="2"/>
  <c r="K63" i="2"/>
  <c r="J63" i="2"/>
  <c r="J65" i="2"/>
  <c r="J59" i="2"/>
  <c r="K61" i="2"/>
  <c r="BC43" i="2"/>
  <c r="BD43" i="2"/>
  <c r="J45" i="2"/>
  <c r="AY21" i="2"/>
  <c r="AZ21" i="2"/>
  <c r="J41" i="2"/>
  <c r="BC42" i="2"/>
  <c r="BD42" i="2"/>
  <c r="T67" i="2"/>
  <c r="N58" i="2"/>
  <c r="R57" i="2"/>
  <c r="U61" i="2"/>
  <c r="BM30" i="2"/>
  <c r="BN30" i="2"/>
  <c r="BN29" i="2"/>
  <c r="BM29" i="2"/>
  <c r="BF29" i="2"/>
  <c r="BE29" i="2"/>
  <c r="BN32" i="2"/>
  <c r="BM32" i="2"/>
  <c r="BF34" i="2"/>
  <c r="BE34" i="2"/>
  <c r="BM33" i="2"/>
  <c r="BN33" i="2"/>
  <c r="BF31" i="2"/>
  <c r="BE31" i="2"/>
  <c r="BM28" i="2"/>
  <c r="BN28" i="2"/>
  <c r="BE30" i="2"/>
  <c r="BF30" i="2"/>
  <c r="BN35" i="2"/>
  <c r="BM35" i="2"/>
  <c r="BF35" i="2"/>
  <c r="BE35" i="2"/>
  <c r="BE28" i="2"/>
  <c r="BF28" i="2"/>
  <c r="BN31" i="2"/>
  <c r="BM31" i="2"/>
  <c r="BE33" i="2"/>
  <c r="BF33" i="2"/>
  <c r="BN34" i="2"/>
  <c r="BM34" i="2"/>
  <c r="BF32" i="2"/>
  <c r="BE32" i="2"/>
  <c r="AY39" i="2" l="1"/>
  <c r="BC41" i="2"/>
  <c r="BD41" i="2"/>
  <c r="BH34" i="2"/>
  <c r="BH40" i="2"/>
  <c r="BL37" i="2"/>
  <c r="BD39" i="2"/>
  <c r="BC45" i="2"/>
  <c r="BL43" i="2"/>
  <c r="BC37" i="2"/>
  <c r="BP35" i="2"/>
  <c r="BL41" i="2"/>
  <c r="BA40" i="2"/>
  <c r="BK46" i="2"/>
  <c r="BK41" i="2"/>
  <c r="BH32" i="2"/>
  <c r="BK39" i="2"/>
  <c r="BC35" i="2"/>
  <c r="BG32" i="2"/>
  <c r="BK37" i="2"/>
  <c r="BD35" i="2"/>
  <c r="K57" i="2"/>
  <c r="K53" i="2"/>
  <c r="BA42" i="2"/>
  <c r="K64" i="2"/>
  <c r="BL39" i="2"/>
  <c r="BI43" i="2"/>
  <c r="AZ45" i="2"/>
  <c r="BK34" i="2"/>
  <c r="BH47" i="2"/>
  <c r="BG47" i="2"/>
  <c r="BP40" i="2"/>
  <c r="BD45" i="2"/>
  <c r="BG30" i="2"/>
  <c r="BB40" i="2"/>
  <c r="BG46" i="2"/>
  <c r="J60" i="2"/>
  <c r="AY38" i="2" s="1"/>
  <c r="AY45" i="2"/>
  <c r="K66" i="2"/>
  <c r="J58" i="2"/>
  <c r="J66" i="2"/>
  <c r="BK43" i="2"/>
  <c r="BL47" i="2"/>
  <c r="BK47" i="2"/>
  <c r="BP46" i="2"/>
  <c r="BO46" i="2"/>
  <c r="BL35" i="2"/>
  <c r="BK35" i="2"/>
  <c r="BL34" i="2"/>
  <c r="J64" i="2"/>
  <c r="BO35" i="2"/>
  <c r="BA41" i="2"/>
  <c r="K58" i="2"/>
  <c r="K55" i="2"/>
  <c r="K62" i="2"/>
  <c r="AZ40" i="2" s="1"/>
  <c r="BB36" i="2"/>
  <c r="BA36" i="2"/>
  <c r="BB38" i="2"/>
  <c r="BA38" i="2"/>
  <c r="BI42" i="2"/>
  <c r="BG43" i="2"/>
  <c r="BP44" i="2"/>
  <c r="N53" i="2"/>
  <c r="N55" i="2"/>
  <c r="N51" i="2"/>
  <c r="BI34" i="2"/>
  <c r="BJ34" i="2"/>
  <c r="J48" i="2"/>
  <c r="J57" i="2" s="1"/>
  <c r="J47" i="2"/>
  <c r="J56" i="2" s="1"/>
  <c r="K47" i="2"/>
  <c r="K56" i="2" s="1"/>
  <c r="AY41" i="2"/>
  <c r="AZ41" i="2"/>
  <c r="BG39" i="2"/>
  <c r="BH39" i="2"/>
  <c r="BJ42" i="2"/>
  <c r="BP38" i="2"/>
  <c r="BO38" i="2"/>
  <c r="N50" i="2"/>
  <c r="N54" i="2"/>
  <c r="N52" i="2"/>
  <c r="BJ41" i="2"/>
  <c r="BI41" i="2"/>
  <c r="T52" i="2"/>
  <c r="T54" i="2"/>
  <c r="T50" i="2"/>
  <c r="BH29" i="2"/>
  <c r="BG29" i="2"/>
  <c r="BB39" i="2"/>
  <c r="BA39" i="2"/>
  <c r="BJ36" i="2"/>
  <c r="BI36" i="2"/>
  <c r="BI40" i="2"/>
  <c r="BJ40" i="2"/>
  <c r="Z54" i="2"/>
  <c r="Z52" i="2"/>
  <c r="Z50" i="2"/>
  <c r="V53" i="2"/>
  <c r="V51" i="2"/>
  <c r="V55" i="2"/>
  <c r="BG33" i="2"/>
  <c r="BB41" i="2"/>
  <c r="BI35" i="2"/>
  <c r="BJ35" i="2"/>
  <c r="M56" i="2"/>
  <c r="M66" i="2"/>
  <c r="M54" i="2"/>
  <c r="M52" i="2"/>
  <c r="M50" i="2"/>
  <c r="BJ45" i="2"/>
  <c r="BI45" i="2"/>
  <c r="AZ37" i="2"/>
  <c r="AY37" i="2"/>
  <c r="AZ43" i="2"/>
  <c r="AY43" i="2"/>
  <c r="BD40" i="2"/>
  <c r="BC40" i="2"/>
  <c r="BP42" i="2"/>
  <c r="BO42" i="2"/>
  <c r="BI39" i="2"/>
  <c r="BJ39" i="2"/>
  <c r="T51" i="2"/>
  <c r="T53" i="2"/>
  <c r="T55" i="2"/>
  <c r="BG37" i="2"/>
  <c r="BH37" i="2"/>
  <c r="BA43" i="2"/>
  <c r="BB43" i="2"/>
  <c r="BC44" i="2"/>
  <c r="BD44" i="2"/>
  <c r="BJ44" i="2"/>
  <c r="BI44" i="2"/>
  <c r="L57" i="2"/>
  <c r="L67" i="2"/>
  <c r="L51" i="2"/>
  <c r="L55" i="2"/>
  <c r="L53" i="2"/>
  <c r="BH28" i="2"/>
  <c r="BG28" i="2"/>
  <c r="BO40" i="2"/>
  <c r="Z53" i="2"/>
  <c r="Z55" i="2"/>
  <c r="Z51" i="2"/>
  <c r="V52" i="2"/>
  <c r="V54" i="2"/>
  <c r="V50" i="2"/>
  <c r="BH41" i="2"/>
  <c r="BG41" i="2"/>
  <c r="BC36" i="2"/>
  <c r="BD36" i="2"/>
  <c r="BA37" i="2"/>
  <c r="BB37" i="2"/>
  <c r="BH35" i="2"/>
  <c r="BG35" i="2"/>
  <c r="BD38" i="2"/>
  <c r="BC38" i="2"/>
  <c r="O52" i="2"/>
  <c r="O54" i="2"/>
  <c r="O50" i="2"/>
  <c r="BJ37" i="2"/>
  <c r="BI37" i="2"/>
  <c r="U54" i="2"/>
  <c r="U50" i="2"/>
  <c r="U52" i="2"/>
  <c r="BH31" i="2"/>
  <c r="BG31" i="2"/>
  <c r="BI38" i="2"/>
  <c r="BJ38" i="2"/>
  <c r="L54" i="2"/>
  <c r="L50" i="2"/>
  <c r="L52" i="2"/>
  <c r="AA54" i="2"/>
  <c r="AA50" i="2"/>
  <c r="AA52" i="2"/>
  <c r="W50" i="2"/>
  <c r="W54" i="2"/>
  <c r="W52" i="2"/>
  <c r="AZ39" i="2"/>
  <c r="BJ43" i="2"/>
  <c r="BO34" i="2"/>
  <c r="BP34" i="2"/>
  <c r="BH45" i="2"/>
  <c r="BG45" i="2"/>
  <c r="BC34" i="2"/>
  <c r="BD34" i="2"/>
  <c r="BP36" i="2"/>
  <c r="BO36" i="2"/>
  <c r="AZ38" i="2" l="1"/>
  <c r="AY36" i="2"/>
  <c r="AZ36" i="2"/>
  <c r="AY40" i="2"/>
  <c r="AY42" i="2"/>
  <c r="AZ42" i="2"/>
  <c r="AZ35" i="2"/>
  <c r="BC28" i="2"/>
  <c r="AY35" i="2"/>
  <c r="AZ34" i="2"/>
  <c r="AY34" i="2"/>
  <c r="AZ44" i="2"/>
  <c r="AY44" i="2"/>
  <c r="BB32" i="2"/>
  <c r="BA32" i="2"/>
  <c r="BK32" i="2"/>
  <c r="BL32" i="2"/>
  <c r="BP29" i="2"/>
  <c r="BO29" i="2"/>
  <c r="BB29" i="2"/>
  <c r="BA29" i="2"/>
  <c r="BI31" i="2"/>
  <c r="BJ31" i="2"/>
  <c r="BA34" i="2"/>
  <c r="BB34" i="2"/>
  <c r="BP32" i="2"/>
  <c r="BO32" i="2"/>
  <c r="BD28" i="2"/>
  <c r="K54" i="2"/>
  <c r="K52" i="2"/>
  <c r="K50" i="2"/>
  <c r="BL33" i="2"/>
  <c r="BK33" i="2"/>
  <c r="BI28" i="2"/>
  <c r="BJ28" i="2"/>
  <c r="J54" i="2"/>
  <c r="J50" i="2"/>
  <c r="J52" i="2"/>
  <c r="BC29" i="2"/>
  <c r="BD29" i="2"/>
  <c r="BL30" i="2"/>
  <c r="BK30" i="2"/>
  <c r="BA45" i="2"/>
  <c r="BB45" i="2"/>
  <c r="BA30" i="2"/>
  <c r="BB30" i="2"/>
  <c r="BO31" i="2"/>
  <c r="BP31" i="2"/>
  <c r="BB31" i="2"/>
  <c r="BA31" i="2"/>
  <c r="BB35" i="2"/>
  <c r="BA35" i="2"/>
  <c r="BL29" i="2"/>
  <c r="BK29" i="2"/>
  <c r="BO28" i="2"/>
  <c r="BP28" i="2"/>
  <c r="BJ32" i="2"/>
  <c r="BI32" i="2"/>
  <c r="BD30" i="2"/>
  <c r="BC30" i="2"/>
  <c r="J55" i="2"/>
  <c r="J51" i="2"/>
  <c r="J53" i="2"/>
  <c r="BD33" i="2"/>
  <c r="BC33" i="2"/>
  <c r="BP33" i="2"/>
  <c r="BO33" i="2"/>
  <c r="BJ29" i="2"/>
  <c r="BI29" i="2"/>
  <c r="BA28" i="2"/>
  <c r="BB28" i="2"/>
  <c r="BL28" i="2"/>
  <c r="BK28" i="2"/>
  <c r="BA33" i="2"/>
  <c r="BB33" i="2"/>
  <c r="BI33" i="2"/>
  <c r="BJ33" i="2"/>
  <c r="BA44" i="2"/>
  <c r="BB44" i="2"/>
  <c r="BK31" i="2"/>
  <c r="BL31" i="2"/>
  <c r="BP30" i="2"/>
  <c r="BO30" i="2"/>
  <c r="BI30" i="2"/>
  <c r="BJ30" i="2"/>
  <c r="BC32" i="2"/>
  <c r="BD32" i="2"/>
  <c r="BC31" i="2"/>
  <c r="BD31" i="2"/>
  <c r="AZ29" i="2" l="1"/>
  <c r="AY29" i="2"/>
  <c r="AZ33" i="2"/>
  <c r="AY33" i="2"/>
  <c r="AZ28" i="2"/>
  <c r="AY28" i="2"/>
  <c r="AZ32" i="2"/>
  <c r="AY32" i="2"/>
  <c r="AY31" i="2"/>
  <c r="AZ31" i="2"/>
  <c r="AY30" i="2"/>
  <c r="AZ30" i="2"/>
</calcChain>
</file>

<file path=xl/sharedStrings.xml><?xml version="1.0" encoding="utf-8"?>
<sst xmlns="http://schemas.openxmlformats.org/spreadsheetml/2006/main" count="400" uniqueCount="212">
  <si>
    <t>yc</t>
  </si>
  <si>
    <t>RCYCLE</t>
  </si>
  <si>
    <t>STEP</t>
  </si>
  <si>
    <t>RAYS</t>
  </si>
  <si>
    <t>STEP2</t>
  </si>
  <si>
    <t>XARXI</t>
  </si>
  <si>
    <t>TOMI ME KYKLO</t>
  </si>
  <si>
    <t>XTOMI=Y</t>
  </si>
  <si>
    <t>nd</t>
  </si>
  <si>
    <t>PI</t>
  </si>
  <si>
    <t>pros</t>
  </si>
  <si>
    <t>2θ1-φ</t>
  </si>
  <si>
    <t>φ πρόσπτ</t>
  </si>
  <si>
    <t>θ1</t>
  </si>
  <si>
    <t>caera</t>
  </si>
  <si>
    <t>cmeso</t>
  </si>
  <si>
    <t>t</t>
  </si>
  <si>
    <t>`</t>
  </si>
  <si>
    <t xml:space="preserve">before </t>
  </si>
  <si>
    <t>in sphere</t>
  </si>
  <si>
    <t>after</t>
  </si>
  <si>
    <t>tpro pano</t>
  </si>
  <si>
    <t>tpro kato</t>
  </si>
  <si>
    <t>tmeta pano</t>
  </si>
  <si>
    <t>tmeta kato</t>
  </si>
  <si>
    <t>ci sphere</t>
  </si>
  <si>
    <t>ci in sphere</t>
  </si>
  <si>
    <t>angle after</t>
  </si>
  <si>
    <t>c after</t>
  </si>
  <si>
    <t>x</t>
  </si>
  <si>
    <t>y</t>
  </si>
  <si>
    <t>STEPp</t>
  </si>
  <si>
    <t>STEP22</t>
  </si>
  <si>
    <t>ndd</t>
  </si>
  <si>
    <t>caera1</t>
  </si>
  <si>
    <t>cmeso1</t>
  </si>
  <si>
    <t>yarxi</t>
  </si>
  <si>
    <t>yccc</t>
  </si>
  <si>
    <t>rcycle22</t>
  </si>
  <si>
    <t>sinθ1</t>
  </si>
  <si>
    <t>sinθ2</t>
  </si>
  <si>
    <t>θ2</t>
  </si>
  <si>
    <t>φ ακτίνας</t>
  </si>
  <si>
    <t>θ2-φ=κλ</t>
  </si>
  <si>
    <t>κλίση 1</t>
  </si>
  <si>
    <t>2θ2-φ</t>
  </si>
  <si>
    <t>κλ προ</t>
  </si>
  <si>
    <t>Critical angle for al farisi</t>
  </si>
  <si>
    <t>Alfarisi</t>
  </si>
  <si>
    <t xml:space="preserve">f0 </t>
  </si>
  <si>
    <t>angle of ray</t>
  </si>
  <si>
    <t xml:space="preserve">f </t>
  </si>
  <si>
    <t>angle of radius of cycle</t>
  </si>
  <si>
    <t>sin of angle of refracrion</t>
  </si>
  <si>
    <t>angle of refraction</t>
  </si>
  <si>
    <t>alfarisi ray</t>
  </si>
  <si>
    <t>critical angle</t>
  </si>
  <si>
    <t xml:space="preserve">refraction when the </t>
  </si>
  <si>
    <t>refracted passes</t>
  </si>
  <si>
    <t>through the accis</t>
  </si>
  <si>
    <t>incidence</t>
  </si>
  <si>
    <t>90 degrees incidence</t>
  </si>
  <si>
    <t>-</t>
  </si>
  <si>
    <t>MOVE THE POINTS TO SEE WHERE THEY GO</t>
  </si>
  <si>
    <t>MOVE WAVE FRONT</t>
  </si>
  <si>
    <t xml:space="preserve">                                   </t>
  </si>
  <si>
    <t>DWAVE</t>
  </si>
  <si>
    <t>IF(t-DWAVE*$I30&lt;R19;XARXI+caera*(t-DWAVE*$I30);IF(AND(t-DWAVE*$I30&gt;R$17;t&lt;R$17+S$17);R$8+R$21*(t-DWAVE*$I30-R$17);R$9+R$25*(t-DWAVE*$I30-R$17-S$17)))</t>
  </si>
  <si>
    <t>dkyma</t>
  </si>
  <si>
    <t>x2,y2</t>
  </si>
  <si>
    <t>ex product</t>
  </si>
  <si>
    <t>x1,y1</t>
  </si>
  <si>
    <t>REFR ANGLE</t>
  </si>
  <si>
    <t>X3,Y3</t>
  </si>
  <si>
    <t>X4,Y4</t>
  </si>
  <si>
    <t>LOWER</t>
  </si>
  <si>
    <t>TIME BEFRO AND IN</t>
  </si>
  <si>
    <t>DOWN</t>
  </si>
  <si>
    <t>UP</t>
  </si>
  <si>
    <t>TIME AFTER</t>
  </si>
  <si>
    <t xml:space="preserve">transformation in a rotated </t>
  </si>
  <si>
    <t>y'=-xsin(θ)+y*cos(θ)</t>
  </si>
  <si>
    <t>x'=xcos(θ)+y*sin(θ)</t>
  </si>
  <si>
    <t>gonia_pigi</t>
  </si>
  <si>
    <t>y_ipigis</t>
  </si>
  <si>
    <t>pano</t>
  </si>
  <si>
    <t>kato</t>
  </si>
  <si>
    <t>metopa</t>
  </si>
  <si>
    <t>pi2tera</t>
  </si>
  <si>
    <t>mion2pftera</t>
  </si>
  <si>
    <t>alfarisi turned</t>
  </si>
  <si>
    <t>alfarisi 2</t>
  </si>
  <si>
    <t>alfarisi2 turned</t>
  </si>
  <si>
    <t>f</t>
  </si>
  <si>
    <t>dexia</t>
  </si>
  <si>
    <t>aristera</t>
  </si>
  <si>
    <t>h1</t>
  </si>
  <si>
    <t>h2</t>
  </si>
  <si>
    <t>eftheis idolo</t>
  </si>
  <si>
    <t>klisi1</t>
  </si>
  <si>
    <t>klisi2</t>
  </si>
  <si>
    <t>gonia1</t>
  </si>
  <si>
    <t>gonia2</t>
  </si>
  <si>
    <t>x_pigis2</t>
  </si>
  <si>
    <t>y_pigis2</t>
  </si>
  <si>
    <t>eidolo</t>
  </si>
  <si>
    <t>from source to left fous</t>
  </si>
  <si>
    <t>VOGEL PHYSIK</t>
  </si>
  <si>
    <t>H1</t>
  </si>
  <si>
    <t>H2</t>
  </si>
  <si>
    <t>F1</t>
  </si>
  <si>
    <t>F2</t>
  </si>
  <si>
    <t>KLISI1</t>
  </si>
  <si>
    <t>KLISI2</t>
  </si>
  <si>
    <t>xarxi2</t>
  </si>
  <si>
    <t>διάθλασης</t>
  </si>
  <si>
    <t>πρόσπτωσης</t>
  </si>
  <si>
    <t>σε μοίρες</t>
  </si>
  <si>
    <t>σε ακτίνια</t>
  </si>
  <si>
    <t>xa3</t>
  </si>
  <si>
    <t>ya3</t>
  </si>
  <si>
    <t>xa4</t>
  </si>
  <si>
    <t>ya4</t>
  </si>
  <si>
    <t>xa5</t>
  </si>
  <si>
    <t>ya5</t>
  </si>
  <si>
    <t>xa6</t>
  </si>
  <si>
    <t>ya6</t>
  </si>
  <si>
    <t>xa7</t>
  </si>
  <si>
    <t>ya7</t>
  </si>
  <si>
    <t>xa8</t>
  </si>
  <si>
    <t>ya8</t>
  </si>
  <si>
    <t>xa9</t>
  </si>
  <si>
    <t>ya9</t>
  </si>
  <si>
    <t>xa10</t>
  </si>
  <si>
    <t>ya10</t>
  </si>
  <si>
    <t>xa11</t>
  </si>
  <si>
    <t>ya11</t>
  </si>
  <si>
    <t>xa12</t>
  </si>
  <si>
    <t>ya12</t>
  </si>
  <si>
    <t>xa13</t>
  </si>
  <si>
    <t>ya13</t>
  </si>
  <si>
    <t>xa14</t>
  </si>
  <si>
    <t>ya14</t>
  </si>
  <si>
    <t>xa15</t>
  </si>
  <si>
    <t>ya15</t>
  </si>
  <si>
    <t>xa16</t>
  </si>
  <si>
    <t>ya16</t>
  </si>
  <si>
    <t>xa17</t>
  </si>
  <si>
    <t>ya17</t>
  </si>
  <si>
    <t>xa18</t>
  </si>
  <si>
    <t>ya18</t>
  </si>
  <si>
    <t>xa19</t>
  </si>
  <si>
    <t>ya19</t>
  </si>
  <si>
    <t>Index_of_ref</t>
  </si>
  <si>
    <t>radius_rain</t>
  </si>
  <si>
    <t>χ</t>
  </si>
  <si>
    <t>υ</t>
  </si>
  <si>
    <t>Index n</t>
  </si>
  <si>
    <t>Refraction angle in  radians</t>
  </si>
  <si>
    <t>Al Farisi in degrees</t>
  </si>
  <si>
    <t>Al Farisi in  radians</t>
  </si>
  <si>
    <t>Ray for al Farisi angle</t>
  </si>
  <si>
    <t>Incidence angle in degrees</t>
  </si>
  <si>
    <t xml:space="preserve">Ray for varying angle </t>
  </si>
  <si>
    <t>Function perno(f, n) 'õðïëïãßæù ôï óõíôåëåóôÞ äéÝëåõóçò ãéá ìéá</t>
  </si>
  <si>
    <t>'áêôßíá öùôüò ðïõ ðñïóðßðôåé ìå ãùíßá f ðÜíù óå óöáßñá.</t>
  </si>
  <si>
    <t>' ç ãùíßá äéÜèëáóçò èá åßíáé: ö'=arcsin(çì(ö)/n)</t>
  </si>
  <si>
    <t>Pi = 4 * Atn(1)</t>
  </si>
  <si>
    <t>f1 = arcsin(Sin(f * Pi / 180) / n) * 180 / Pi 'ãùíßá äéÜèëáóçò óôç óöáßñá</t>
  </si>
  <si>
    <t>r1 = reflectance(f * Pi / 180, f1 * Pi / 180)</t>
  </si>
  <si>
    <t>t1 = 1 - r1</t>
  </si>
  <si>
    <t>r2 = reflectance(f1 * Pi / 180, f * Pi / 180) 'áíáêëáóôéêüôçôá óôç äåýôåñç</t>
  </si>
  <si>
    <t>t2 = 1 - r2 'ðüóï öùò âãáßíåé óôç äåýôåñç åðéöÜíåéá</t>
  </si>
  <si>
    <t>r3 = r2</t>
  </si>
  <si>
    <t>t3 = 1 - r3</t>
  </si>
  <si>
    <t>perno = t1 * r2 * t3</t>
  </si>
  <si>
    <t>End Function</t>
  </si>
  <si>
    <t>Function reflectance(thetaPro, Thetadia)</t>
  </si>
  <si>
    <t>Rparallel = (Tan(thetaPro - Thetadia) / Tan(thetaPro + Thetadia)) ^ 2 'óõíôåëåóôÞò ðáñÜëëçëïò</t>
  </si>
  <si>
    <t>Rkatheto = (Sin(thetaPro - Thetadia) / Sin(thetaPro + Thetadia)) ^ 2 'êÜèåôç</t>
  </si>
  <si>
    <t>reflectance = 0.5 * (Rparallel + Rkatheto)</t>
  </si>
  <si>
    <t>Function goniameor(f, n) ' ç ãùíßá ðïõ êÜíåé ìå ôçí ïñéæüíôéï ç åîåñ÷üìåíç</t>
  </si>
  <si>
    <t>delta = arcsin(Sin(f * Pi / 180) / n) * 180 / Pi 'ãùíßá äéÜèëáóçò</t>
  </si>
  <si>
    <t>goniameor = (4 * delta - 2 * f)</t>
  </si>
  <si>
    <t>Function dgoni(f, n)</t>
  </si>
  <si>
    <t>goniamekatheto = (4 * delta - 2 * f)</t>
  </si>
  <si>
    <t>ddeltadf = 1 / Sqr(1 - (Sin(f * Pi / 180) / n) ^ 2) * Cos(f * Pi / 180) / n</t>
  </si>
  <si>
    <t>dgoni = 4 * ddeltadf - 2</t>
  </si>
  <si>
    <t>radians inc</t>
  </si>
  <si>
    <t>refr</t>
  </si>
  <si>
    <t xml:space="preserve">rparalle </t>
  </si>
  <si>
    <t>rkatheto</t>
  </si>
  <si>
    <t>reflectance</t>
  </si>
  <si>
    <t>perno</t>
  </si>
  <si>
    <t>gojia_katheto</t>
  </si>
  <si>
    <t>ddeltadf</t>
  </si>
  <si>
    <t>dgoni</t>
  </si>
  <si>
    <t>sin(incid)</t>
  </si>
  <si>
    <t>dgoni/cos(inc)</t>
  </si>
  <si>
    <t>al farisi ray</t>
  </si>
  <si>
    <t>is the black ray</t>
  </si>
  <si>
    <t>x_source</t>
  </si>
  <si>
    <t>y_source</t>
  </si>
  <si>
    <t>sinX=</t>
  </si>
  <si>
    <t>sin(alfarisi)</t>
  </si>
  <si>
    <t>f=π-(π-farisi+x)</t>
  </si>
  <si>
    <t>refraction</t>
  </si>
  <si>
    <t>gonia</t>
  </si>
  <si>
    <t>2 reflection</t>
  </si>
  <si>
    <t>1 reflection</t>
  </si>
  <si>
    <t>WE OBSERVE THAT THE d(angle 0f deviation)/dy becomes very large for sin(incicidence)= sin(Al farisi angle)</t>
  </si>
  <si>
    <t>position of source in x axis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</si>
</sst>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12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1" fillId="3" borderId="1" xfId="2" applyBorder="1"/>
    <xf numFmtId="0" fontId="1" fillId="2" borderId="0" xfId="1"/>
    <xf numFmtId="0" fontId="3" fillId="0" borderId="0" xfId="0" applyFont="1"/>
    <xf numFmtId="0" fontId="0" fillId="0" borderId="0" xfId="0" applyBorder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5" fillId="0" borderId="0" xfId="0" applyFont="1"/>
    <xf numFmtId="0" fontId="6" fillId="0" borderId="5" xfId="0" applyFont="1" applyBorder="1"/>
    <xf numFmtId="0" fontId="7" fillId="0" borderId="6" xfId="0" applyFont="1" applyBorder="1"/>
    <xf numFmtId="0" fontId="7" fillId="0" borderId="0" xfId="0" applyFont="1"/>
    <xf numFmtId="0" fontId="6" fillId="0" borderId="0" xfId="0" applyFont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0" fillId="0" borderId="9" xfId="0" applyBorder="1"/>
    <xf numFmtId="0" fontId="0" fillId="0" borderId="10" xfId="0" applyBorder="1"/>
    <xf numFmtId="0" fontId="7" fillId="0" borderId="11" xfId="0" applyFont="1" applyBorder="1"/>
    <xf numFmtId="0" fontId="0" fillId="0" borderId="12" xfId="0" applyBorder="1"/>
    <xf numFmtId="0" fontId="0" fillId="4" borderId="0" xfId="0" applyFill="1"/>
    <xf numFmtId="0" fontId="4" fillId="4" borderId="0" xfId="0" applyFont="1" applyFill="1"/>
  </cellXfs>
  <cellStyles count="3">
    <cellStyle name="Έμφαση1" xfId="1" builtinId="29"/>
    <cellStyle name="Έμφαση4" xfId="2" builtinId="4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313791093390261E-2"/>
          <c:y val="3.4564931352084931E-2"/>
          <c:w val="0.88962010861275986"/>
          <c:h val="0.9098730154367437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parallel!$AN$8:$AN$209</c:f>
              <c:numCache>
                <c:formatCode>General</c:formatCode>
                <c:ptCount val="202"/>
                <c:pt idx="0">
                  <c:v>-10</c:v>
                </c:pt>
                <c:pt idx="1">
                  <c:v>-9.9</c:v>
                </c:pt>
                <c:pt idx="2">
                  <c:v>-9.8000000000000007</c:v>
                </c:pt>
                <c:pt idx="3">
                  <c:v>-9.6999999999999993</c:v>
                </c:pt>
                <c:pt idx="4">
                  <c:v>-9.6</c:v>
                </c:pt>
                <c:pt idx="5">
                  <c:v>-9.5</c:v>
                </c:pt>
                <c:pt idx="6">
                  <c:v>-9.4</c:v>
                </c:pt>
                <c:pt idx="7">
                  <c:v>-9.3000000000000007</c:v>
                </c:pt>
                <c:pt idx="8">
                  <c:v>-9.1999999999999993</c:v>
                </c:pt>
                <c:pt idx="9">
                  <c:v>-9.1</c:v>
                </c:pt>
                <c:pt idx="10">
                  <c:v>-9</c:v>
                </c:pt>
                <c:pt idx="11">
                  <c:v>-8.9</c:v>
                </c:pt>
                <c:pt idx="12">
                  <c:v>-8.8000000000000007</c:v>
                </c:pt>
                <c:pt idx="13">
                  <c:v>-8.6999999999999993</c:v>
                </c:pt>
                <c:pt idx="14">
                  <c:v>-8.6</c:v>
                </c:pt>
                <c:pt idx="15">
                  <c:v>-8.5</c:v>
                </c:pt>
                <c:pt idx="16">
                  <c:v>-8.4</c:v>
                </c:pt>
                <c:pt idx="17">
                  <c:v>-8.3000000000000007</c:v>
                </c:pt>
                <c:pt idx="18">
                  <c:v>-8.1999999999999993</c:v>
                </c:pt>
                <c:pt idx="19">
                  <c:v>-8.1</c:v>
                </c:pt>
                <c:pt idx="20">
                  <c:v>-8</c:v>
                </c:pt>
                <c:pt idx="21">
                  <c:v>-7.9</c:v>
                </c:pt>
                <c:pt idx="22">
                  <c:v>-7.8</c:v>
                </c:pt>
                <c:pt idx="23">
                  <c:v>-7.6999999999999993</c:v>
                </c:pt>
                <c:pt idx="24">
                  <c:v>-7.6</c:v>
                </c:pt>
                <c:pt idx="25">
                  <c:v>-7.5</c:v>
                </c:pt>
                <c:pt idx="26">
                  <c:v>-7.4</c:v>
                </c:pt>
                <c:pt idx="27">
                  <c:v>-7.3</c:v>
                </c:pt>
                <c:pt idx="28">
                  <c:v>-7.1999999999999993</c:v>
                </c:pt>
                <c:pt idx="29">
                  <c:v>-7.1</c:v>
                </c:pt>
                <c:pt idx="30">
                  <c:v>-7</c:v>
                </c:pt>
                <c:pt idx="31">
                  <c:v>-6.9</c:v>
                </c:pt>
                <c:pt idx="32">
                  <c:v>-6.8</c:v>
                </c:pt>
                <c:pt idx="33">
                  <c:v>-6.6999999999999993</c:v>
                </c:pt>
                <c:pt idx="34">
                  <c:v>-6.6</c:v>
                </c:pt>
                <c:pt idx="35">
                  <c:v>-6.5</c:v>
                </c:pt>
                <c:pt idx="36">
                  <c:v>-6.4</c:v>
                </c:pt>
                <c:pt idx="37">
                  <c:v>-6.3</c:v>
                </c:pt>
                <c:pt idx="38">
                  <c:v>-6.1999999999999993</c:v>
                </c:pt>
                <c:pt idx="39">
                  <c:v>-6.1</c:v>
                </c:pt>
                <c:pt idx="40">
                  <c:v>-6</c:v>
                </c:pt>
                <c:pt idx="41">
                  <c:v>-5.8999999999999995</c:v>
                </c:pt>
                <c:pt idx="42">
                  <c:v>-5.8</c:v>
                </c:pt>
                <c:pt idx="43">
                  <c:v>-5.7</c:v>
                </c:pt>
                <c:pt idx="44">
                  <c:v>-5.6</c:v>
                </c:pt>
                <c:pt idx="45">
                  <c:v>-5.5</c:v>
                </c:pt>
                <c:pt idx="46">
                  <c:v>-5.3999999999999995</c:v>
                </c:pt>
                <c:pt idx="47">
                  <c:v>-5.3</c:v>
                </c:pt>
                <c:pt idx="48">
                  <c:v>-5.1999999999999993</c:v>
                </c:pt>
                <c:pt idx="49">
                  <c:v>-5.0999999999999996</c:v>
                </c:pt>
                <c:pt idx="50">
                  <c:v>-5</c:v>
                </c:pt>
                <c:pt idx="51">
                  <c:v>-4.8999999999999995</c:v>
                </c:pt>
                <c:pt idx="52">
                  <c:v>-4.8</c:v>
                </c:pt>
                <c:pt idx="53">
                  <c:v>-4.6999999999999993</c:v>
                </c:pt>
                <c:pt idx="54">
                  <c:v>-4.5999999999999996</c:v>
                </c:pt>
                <c:pt idx="55">
                  <c:v>-4.5</c:v>
                </c:pt>
                <c:pt idx="56">
                  <c:v>-4.3999999999999995</c:v>
                </c:pt>
                <c:pt idx="57">
                  <c:v>-4.3</c:v>
                </c:pt>
                <c:pt idx="58">
                  <c:v>-4.1999999999999993</c:v>
                </c:pt>
                <c:pt idx="59">
                  <c:v>-4.0999999999999996</c:v>
                </c:pt>
                <c:pt idx="60">
                  <c:v>-4</c:v>
                </c:pt>
                <c:pt idx="61">
                  <c:v>-3.8999999999999995</c:v>
                </c:pt>
                <c:pt idx="62">
                  <c:v>-3.8</c:v>
                </c:pt>
                <c:pt idx="63">
                  <c:v>-3.6999999999999993</c:v>
                </c:pt>
                <c:pt idx="64">
                  <c:v>-3.5999999999999996</c:v>
                </c:pt>
                <c:pt idx="65">
                  <c:v>-3.5</c:v>
                </c:pt>
                <c:pt idx="66">
                  <c:v>-3.3999999999999995</c:v>
                </c:pt>
                <c:pt idx="67">
                  <c:v>-3.3</c:v>
                </c:pt>
                <c:pt idx="68">
                  <c:v>-3.1999999999999993</c:v>
                </c:pt>
                <c:pt idx="69">
                  <c:v>-3.0999999999999996</c:v>
                </c:pt>
                <c:pt idx="70">
                  <c:v>-3</c:v>
                </c:pt>
                <c:pt idx="71">
                  <c:v>-2.8999999999999995</c:v>
                </c:pt>
                <c:pt idx="72">
                  <c:v>-2.8</c:v>
                </c:pt>
                <c:pt idx="73">
                  <c:v>-2.6999999999999993</c:v>
                </c:pt>
                <c:pt idx="74">
                  <c:v>-2.5999999999999996</c:v>
                </c:pt>
                <c:pt idx="75">
                  <c:v>-2.5</c:v>
                </c:pt>
                <c:pt idx="76">
                  <c:v>-2.3999999999999995</c:v>
                </c:pt>
                <c:pt idx="77">
                  <c:v>-2.2999999999999998</c:v>
                </c:pt>
                <c:pt idx="78">
                  <c:v>-2.1999999999999993</c:v>
                </c:pt>
                <c:pt idx="79">
                  <c:v>-2.0999999999999996</c:v>
                </c:pt>
                <c:pt idx="80">
                  <c:v>-2</c:v>
                </c:pt>
                <c:pt idx="81">
                  <c:v>-1.9000000000000004</c:v>
                </c:pt>
                <c:pt idx="82">
                  <c:v>-1.7999999999999989</c:v>
                </c:pt>
                <c:pt idx="83">
                  <c:v>-1.6999999999999993</c:v>
                </c:pt>
                <c:pt idx="84">
                  <c:v>-1.5999999999999996</c:v>
                </c:pt>
                <c:pt idx="85">
                  <c:v>-1.5</c:v>
                </c:pt>
                <c:pt idx="86">
                  <c:v>-1.4000000000000004</c:v>
                </c:pt>
                <c:pt idx="87">
                  <c:v>-1.2999999999999989</c:v>
                </c:pt>
                <c:pt idx="88">
                  <c:v>-1.1999999999999993</c:v>
                </c:pt>
                <c:pt idx="89">
                  <c:v>-1.0999999999999996</c:v>
                </c:pt>
                <c:pt idx="90">
                  <c:v>-1</c:v>
                </c:pt>
                <c:pt idx="91">
                  <c:v>-0.90000000000000036</c:v>
                </c:pt>
                <c:pt idx="92">
                  <c:v>-0.79999999999999893</c:v>
                </c:pt>
                <c:pt idx="93">
                  <c:v>-0.69999999999999929</c:v>
                </c:pt>
                <c:pt idx="94">
                  <c:v>-0.59999999999999964</c:v>
                </c:pt>
                <c:pt idx="95">
                  <c:v>-0.5</c:v>
                </c:pt>
                <c:pt idx="96">
                  <c:v>-0.39999999999999858</c:v>
                </c:pt>
                <c:pt idx="97">
                  <c:v>-0.29999999999999893</c:v>
                </c:pt>
                <c:pt idx="98">
                  <c:v>-0.19999999999999929</c:v>
                </c:pt>
                <c:pt idx="99">
                  <c:v>-9.9999999999999645E-2</c:v>
                </c:pt>
                <c:pt idx="100">
                  <c:v>0</c:v>
                </c:pt>
                <c:pt idx="101">
                  <c:v>0.10000000000000142</c:v>
                </c:pt>
                <c:pt idx="102">
                  <c:v>0.20000000000000107</c:v>
                </c:pt>
                <c:pt idx="103">
                  <c:v>0.30000000000000071</c:v>
                </c:pt>
                <c:pt idx="104">
                  <c:v>0.40000000000000036</c:v>
                </c:pt>
                <c:pt idx="105">
                  <c:v>0.5</c:v>
                </c:pt>
                <c:pt idx="106">
                  <c:v>0.60000000000000142</c:v>
                </c:pt>
                <c:pt idx="107">
                  <c:v>0.70000000000000107</c:v>
                </c:pt>
                <c:pt idx="108">
                  <c:v>0.80000000000000071</c:v>
                </c:pt>
                <c:pt idx="109">
                  <c:v>0.90000000000000036</c:v>
                </c:pt>
                <c:pt idx="110">
                  <c:v>1</c:v>
                </c:pt>
                <c:pt idx="111">
                  <c:v>1.1000000000000014</c:v>
                </c:pt>
                <c:pt idx="112">
                  <c:v>1.2000000000000011</c:v>
                </c:pt>
                <c:pt idx="113">
                  <c:v>1.3000000000000007</c:v>
                </c:pt>
                <c:pt idx="114">
                  <c:v>1.4000000000000004</c:v>
                </c:pt>
                <c:pt idx="115">
                  <c:v>1.5</c:v>
                </c:pt>
                <c:pt idx="116">
                  <c:v>1.6000000000000014</c:v>
                </c:pt>
                <c:pt idx="117">
                  <c:v>1.7000000000000011</c:v>
                </c:pt>
                <c:pt idx="118">
                  <c:v>1.8000000000000007</c:v>
                </c:pt>
                <c:pt idx="119">
                  <c:v>1.9000000000000004</c:v>
                </c:pt>
                <c:pt idx="120">
                  <c:v>2</c:v>
                </c:pt>
                <c:pt idx="121">
                  <c:v>2.1000000000000014</c:v>
                </c:pt>
                <c:pt idx="122">
                  <c:v>2.2000000000000011</c:v>
                </c:pt>
                <c:pt idx="123">
                  <c:v>2.3000000000000007</c:v>
                </c:pt>
                <c:pt idx="124">
                  <c:v>2.4000000000000004</c:v>
                </c:pt>
                <c:pt idx="125">
                  <c:v>2.5</c:v>
                </c:pt>
                <c:pt idx="126">
                  <c:v>2.6000000000000014</c:v>
                </c:pt>
                <c:pt idx="127">
                  <c:v>2.7000000000000011</c:v>
                </c:pt>
                <c:pt idx="128">
                  <c:v>2.8000000000000007</c:v>
                </c:pt>
                <c:pt idx="129">
                  <c:v>2.9000000000000004</c:v>
                </c:pt>
                <c:pt idx="130">
                  <c:v>3</c:v>
                </c:pt>
                <c:pt idx="131">
                  <c:v>3.1000000000000014</c:v>
                </c:pt>
                <c:pt idx="132">
                  <c:v>3.2000000000000011</c:v>
                </c:pt>
                <c:pt idx="133">
                  <c:v>3.3000000000000007</c:v>
                </c:pt>
                <c:pt idx="134">
                  <c:v>3.4000000000000004</c:v>
                </c:pt>
                <c:pt idx="135">
                  <c:v>3.5</c:v>
                </c:pt>
                <c:pt idx="136">
                  <c:v>3.6000000000000014</c:v>
                </c:pt>
                <c:pt idx="137">
                  <c:v>3.7000000000000011</c:v>
                </c:pt>
                <c:pt idx="138">
                  <c:v>3.8000000000000007</c:v>
                </c:pt>
                <c:pt idx="139">
                  <c:v>3.9000000000000004</c:v>
                </c:pt>
                <c:pt idx="140">
                  <c:v>4</c:v>
                </c:pt>
                <c:pt idx="141">
                  <c:v>4.1000000000000014</c:v>
                </c:pt>
                <c:pt idx="142">
                  <c:v>4.2000000000000011</c:v>
                </c:pt>
                <c:pt idx="143">
                  <c:v>4.3000000000000007</c:v>
                </c:pt>
                <c:pt idx="144">
                  <c:v>4.4000000000000004</c:v>
                </c:pt>
                <c:pt idx="145">
                  <c:v>4.5</c:v>
                </c:pt>
                <c:pt idx="146">
                  <c:v>4.6000000000000014</c:v>
                </c:pt>
                <c:pt idx="147">
                  <c:v>4.7000000000000011</c:v>
                </c:pt>
                <c:pt idx="148">
                  <c:v>4.8000000000000007</c:v>
                </c:pt>
                <c:pt idx="149">
                  <c:v>4.9000000000000004</c:v>
                </c:pt>
                <c:pt idx="150">
                  <c:v>5</c:v>
                </c:pt>
                <c:pt idx="151">
                  <c:v>5.1000000000000014</c:v>
                </c:pt>
                <c:pt idx="152">
                  <c:v>5.2000000000000011</c:v>
                </c:pt>
                <c:pt idx="153">
                  <c:v>5.3000000000000007</c:v>
                </c:pt>
                <c:pt idx="154">
                  <c:v>5.4</c:v>
                </c:pt>
                <c:pt idx="155">
                  <c:v>5.5</c:v>
                </c:pt>
                <c:pt idx="156">
                  <c:v>5.6000000000000014</c:v>
                </c:pt>
                <c:pt idx="157">
                  <c:v>5.7000000000000011</c:v>
                </c:pt>
                <c:pt idx="158">
                  <c:v>5.8000000000000007</c:v>
                </c:pt>
                <c:pt idx="159">
                  <c:v>5.9</c:v>
                </c:pt>
                <c:pt idx="160">
                  <c:v>6</c:v>
                </c:pt>
                <c:pt idx="161">
                  <c:v>6.1000000000000014</c:v>
                </c:pt>
                <c:pt idx="162">
                  <c:v>6.1999999999999993</c:v>
                </c:pt>
                <c:pt idx="163">
                  <c:v>6.3000000000000007</c:v>
                </c:pt>
                <c:pt idx="164">
                  <c:v>6.4000000000000021</c:v>
                </c:pt>
                <c:pt idx="165">
                  <c:v>6.5</c:v>
                </c:pt>
                <c:pt idx="166">
                  <c:v>6.6000000000000014</c:v>
                </c:pt>
                <c:pt idx="167">
                  <c:v>6.6999999999999993</c:v>
                </c:pt>
                <c:pt idx="168">
                  <c:v>6.8000000000000007</c:v>
                </c:pt>
                <c:pt idx="169">
                  <c:v>6.9000000000000021</c:v>
                </c:pt>
                <c:pt idx="170">
                  <c:v>7</c:v>
                </c:pt>
                <c:pt idx="171">
                  <c:v>7.1000000000000014</c:v>
                </c:pt>
                <c:pt idx="172">
                  <c:v>7.1999999999999993</c:v>
                </c:pt>
                <c:pt idx="173">
                  <c:v>7.3000000000000007</c:v>
                </c:pt>
                <c:pt idx="174">
                  <c:v>7.4000000000000021</c:v>
                </c:pt>
                <c:pt idx="175">
                  <c:v>7.5</c:v>
                </c:pt>
                <c:pt idx="176">
                  <c:v>7.6000000000000014</c:v>
                </c:pt>
                <c:pt idx="177">
                  <c:v>7.6999999999999993</c:v>
                </c:pt>
                <c:pt idx="178">
                  <c:v>7.8000000000000007</c:v>
                </c:pt>
                <c:pt idx="179">
                  <c:v>7.9000000000000021</c:v>
                </c:pt>
                <c:pt idx="180">
                  <c:v>8</c:v>
                </c:pt>
                <c:pt idx="181">
                  <c:v>8.1000000000000014</c:v>
                </c:pt>
                <c:pt idx="182">
                  <c:v>8.1999999999999993</c:v>
                </c:pt>
                <c:pt idx="183">
                  <c:v>8.3000000000000007</c:v>
                </c:pt>
                <c:pt idx="184">
                  <c:v>8.4000000000000021</c:v>
                </c:pt>
                <c:pt idx="185">
                  <c:v>8.5</c:v>
                </c:pt>
                <c:pt idx="186">
                  <c:v>8.6000000000000014</c:v>
                </c:pt>
                <c:pt idx="187">
                  <c:v>8.6999999999999993</c:v>
                </c:pt>
                <c:pt idx="188">
                  <c:v>8.8000000000000007</c:v>
                </c:pt>
                <c:pt idx="189">
                  <c:v>8.9000000000000021</c:v>
                </c:pt>
                <c:pt idx="190">
                  <c:v>9</c:v>
                </c:pt>
                <c:pt idx="191">
                  <c:v>9.1000000000000014</c:v>
                </c:pt>
                <c:pt idx="192">
                  <c:v>9.2000000000000028</c:v>
                </c:pt>
                <c:pt idx="193">
                  <c:v>9.3000000000000007</c:v>
                </c:pt>
                <c:pt idx="194">
                  <c:v>9.4000000000000021</c:v>
                </c:pt>
                <c:pt idx="195">
                  <c:v>9.5</c:v>
                </c:pt>
                <c:pt idx="196">
                  <c:v>9.6000000000000014</c:v>
                </c:pt>
                <c:pt idx="197">
                  <c:v>9.7000000000000028</c:v>
                </c:pt>
                <c:pt idx="198">
                  <c:v>9.8000000000000007</c:v>
                </c:pt>
                <c:pt idx="199">
                  <c:v>9.9000000000000021</c:v>
                </c:pt>
                <c:pt idx="200">
                  <c:v>10</c:v>
                </c:pt>
                <c:pt idx="201">
                  <c:v>10.100000000000001</c:v>
                </c:pt>
              </c:numCache>
            </c:numRef>
          </c:xVal>
          <c:yVal>
            <c:numRef>
              <c:f>parallel!$AO$8:$AO$209</c:f>
              <c:numCache>
                <c:formatCode>General</c:formatCode>
                <c:ptCount val="202"/>
                <c:pt idx="0">
                  <c:v>0</c:v>
                </c:pt>
                <c:pt idx="1">
                  <c:v>1.4106735979665865</c:v>
                </c:pt>
                <c:pt idx="2">
                  <c:v>1.9899748742132348</c:v>
                </c:pt>
                <c:pt idx="3">
                  <c:v>2.4310491562286458</c:v>
                </c:pt>
                <c:pt idx="4">
                  <c:v>2.8000000000000007</c:v>
                </c:pt>
                <c:pt idx="5">
                  <c:v>3.1224989991991992</c:v>
                </c:pt>
                <c:pt idx="6">
                  <c:v>3.4117444218463944</c:v>
                </c:pt>
                <c:pt idx="7">
                  <c:v>3.6755951898978201</c:v>
                </c:pt>
                <c:pt idx="8">
                  <c:v>3.9191835884530866</c:v>
                </c:pt>
                <c:pt idx="9">
                  <c:v>4.1460824883255771</c:v>
                </c:pt>
                <c:pt idx="10">
                  <c:v>4.358898943540674</c:v>
                </c:pt>
                <c:pt idx="11">
                  <c:v>4.5596052460711984</c:v>
                </c:pt>
                <c:pt idx="12">
                  <c:v>4.7497368348151658</c:v>
                </c:pt>
                <c:pt idx="13">
                  <c:v>4.9305172142484217</c:v>
                </c:pt>
                <c:pt idx="14">
                  <c:v>5.1029403288692299</c:v>
                </c:pt>
                <c:pt idx="15">
                  <c:v>5.2678268764263692</c:v>
                </c:pt>
                <c:pt idx="16">
                  <c:v>5.4258639865002145</c:v>
                </c:pt>
                <c:pt idx="17">
                  <c:v>5.5776339069537348</c:v>
                </c:pt>
                <c:pt idx="18">
                  <c:v>5.7236352085016744</c:v>
                </c:pt>
                <c:pt idx="19">
                  <c:v>5.8642987645583</c:v>
                </c:pt>
                <c:pt idx="20">
                  <c:v>6</c:v>
                </c:pt>
                <c:pt idx="21">
                  <c:v>6.1310684223877319</c:v>
                </c:pt>
                <c:pt idx="22">
                  <c:v>6.2577951388648065</c:v>
                </c:pt>
                <c:pt idx="23">
                  <c:v>6.3804388563797092</c:v>
                </c:pt>
                <c:pt idx="24">
                  <c:v>6.4992307237087683</c:v>
                </c:pt>
                <c:pt idx="25">
                  <c:v>6.6143782776614763</c:v>
                </c:pt>
                <c:pt idx="26">
                  <c:v>6.726068688320094</c:v>
                </c:pt>
                <c:pt idx="27">
                  <c:v>6.8344714499367107</c:v>
                </c:pt>
                <c:pt idx="28">
                  <c:v>6.9397406291589894</c:v>
                </c:pt>
                <c:pt idx="29">
                  <c:v>7.0420167565833021</c:v>
                </c:pt>
                <c:pt idx="30">
                  <c:v>7.1414284285428504</c:v>
                </c:pt>
                <c:pt idx="31">
                  <c:v>7.2380936716790281</c:v>
                </c:pt>
                <c:pt idx="32">
                  <c:v>7.3321211119293448</c:v>
                </c:pt>
                <c:pt idx="33">
                  <c:v>7.4236109811869859</c:v>
                </c:pt>
                <c:pt idx="34">
                  <c:v>7.5126559883971797</c:v>
                </c:pt>
                <c:pt idx="35">
                  <c:v>7.5993420767853319</c:v>
                </c:pt>
                <c:pt idx="36">
                  <c:v>7.6837490849194179</c:v>
                </c:pt>
                <c:pt idx="37">
                  <c:v>7.7659513261415691</c:v>
                </c:pt>
                <c:pt idx="38">
                  <c:v>7.8460180983732126</c:v>
                </c:pt>
                <c:pt idx="39">
                  <c:v>7.9240141342630128</c:v>
                </c:pt>
                <c:pt idx="40">
                  <c:v>8</c:v>
                </c:pt>
                <c:pt idx="41">
                  <c:v>8.0740324497737799</c:v>
                </c:pt>
                <c:pt idx="42">
                  <c:v>8.1461647417665208</c:v>
                </c:pt>
                <c:pt idx="43">
                  <c:v>8.2164469206585871</c:v>
                </c:pt>
                <c:pt idx="44">
                  <c:v>8.2849260708831913</c:v>
                </c:pt>
                <c:pt idx="45">
                  <c:v>8.3516465442450336</c:v>
                </c:pt>
                <c:pt idx="46">
                  <c:v>8.4166501650003251</c:v>
                </c:pt>
                <c:pt idx="47">
                  <c:v>8.4799764150615413</c:v>
                </c:pt>
                <c:pt idx="48">
                  <c:v>8.541662601625049</c:v>
                </c:pt>
                <c:pt idx="49">
                  <c:v>8.6017440092111563</c:v>
                </c:pt>
                <c:pt idx="50">
                  <c:v>8.6602540378443873</c:v>
                </c:pt>
                <c:pt idx="51">
                  <c:v>8.7172243288790039</c:v>
                </c:pt>
                <c:pt idx="52">
                  <c:v>8.7726848797845243</c:v>
                </c:pt>
                <c:pt idx="53">
                  <c:v>8.8266641490429443</c:v>
                </c:pt>
                <c:pt idx="54">
                  <c:v>8.8791891521692463</c:v>
                </c:pt>
                <c:pt idx="55">
                  <c:v>8.9302855497458751</c:v>
                </c:pt>
                <c:pt idx="56">
                  <c:v>8.9799777282574595</c:v>
                </c:pt>
                <c:pt idx="57">
                  <c:v>9.0282888744213317</c:v>
                </c:pt>
                <c:pt idx="58">
                  <c:v>9.0752410436307436</c:v>
                </c:pt>
                <c:pt idx="59">
                  <c:v>9.1208552230588555</c:v>
                </c:pt>
                <c:pt idx="60">
                  <c:v>9.1651513899116797</c:v>
                </c:pt>
                <c:pt idx="61">
                  <c:v>9.2081485652654411</c:v>
                </c:pt>
                <c:pt idx="62">
                  <c:v>9.2498648638777414</c:v>
                </c:pt>
                <c:pt idx="63">
                  <c:v>9.2903175403212135</c:v>
                </c:pt>
                <c:pt idx="64">
                  <c:v>9.3295230317524815</c:v>
                </c:pt>
                <c:pt idx="65">
                  <c:v>9.3674969975975966</c:v>
                </c:pt>
                <c:pt idx="66">
                  <c:v>9.404254356406998</c:v>
                </c:pt>
                <c:pt idx="67">
                  <c:v>9.4398093201081128</c:v>
                </c:pt>
                <c:pt idx="68">
                  <c:v>9.4741754258616098</c:v>
                </c:pt>
                <c:pt idx="69">
                  <c:v>9.5073655657074632</c:v>
                </c:pt>
                <c:pt idx="70">
                  <c:v>9.5393920141694561</c:v>
                </c:pt>
                <c:pt idx="71">
                  <c:v>9.5702664539708611</c:v>
                </c:pt>
                <c:pt idx="72">
                  <c:v>9.6</c:v>
                </c:pt>
                <c:pt idx="73">
                  <c:v>9.6286032216516233</c:v>
                </c:pt>
                <c:pt idx="74">
                  <c:v>9.6560861636586495</c:v>
                </c:pt>
                <c:pt idx="75">
                  <c:v>9.6824583655185421</c:v>
                </c:pt>
                <c:pt idx="76">
                  <c:v>9.7077288796092773</c:v>
                </c:pt>
                <c:pt idx="77">
                  <c:v>9.7319062880814879</c:v>
                </c:pt>
                <c:pt idx="78">
                  <c:v>9.7549987186057585</c:v>
                </c:pt>
                <c:pt idx="79">
                  <c:v>9.7770138590471483</c:v>
                </c:pt>
                <c:pt idx="80">
                  <c:v>9.7979589711327115</c:v>
                </c:pt>
                <c:pt idx="81">
                  <c:v>9.8178409031721436</c:v>
                </c:pt>
                <c:pt idx="82">
                  <c:v>9.836666101886351</c:v>
                </c:pt>
                <c:pt idx="83">
                  <c:v>9.8544406233941046</c:v>
                </c:pt>
                <c:pt idx="84">
                  <c:v>9.8711701434024519</c:v>
                </c:pt>
                <c:pt idx="85">
                  <c:v>9.8868599666425947</c:v>
                </c:pt>
                <c:pt idx="86">
                  <c:v>9.9015150355892505</c:v>
                </c:pt>
                <c:pt idx="87">
                  <c:v>9.9151399384980952</c:v>
                </c:pt>
                <c:pt idx="88">
                  <c:v>9.9277389167926859</c:v>
                </c:pt>
                <c:pt idx="89">
                  <c:v>9.9393158718294092</c:v>
                </c:pt>
                <c:pt idx="90">
                  <c:v>9.9498743710661994</c:v>
                </c:pt>
                <c:pt idx="91">
                  <c:v>9.959417653658269</c:v>
                </c:pt>
                <c:pt idx="92">
                  <c:v>9.9679486355016902</c:v>
                </c:pt>
                <c:pt idx="93">
                  <c:v>9.975469913743412</c:v>
                </c:pt>
                <c:pt idx="94">
                  <c:v>9.9819837707742245</c:v>
                </c:pt>
                <c:pt idx="95">
                  <c:v>9.9874921777190888</c:v>
                </c:pt>
                <c:pt idx="96">
                  <c:v>9.9919967974374373</c:v>
                </c:pt>
                <c:pt idx="97">
                  <c:v>9.9954989870441189</c:v>
                </c:pt>
                <c:pt idx="98">
                  <c:v>9.9979997999599899</c:v>
                </c:pt>
                <c:pt idx="99">
                  <c:v>9.9994999874993749</c:v>
                </c:pt>
                <c:pt idx="100">
                  <c:v>10</c:v>
                </c:pt>
                <c:pt idx="101">
                  <c:v>9.9994999874993749</c:v>
                </c:pt>
                <c:pt idx="102">
                  <c:v>9.9979997999599899</c:v>
                </c:pt>
                <c:pt idx="103">
                  <c:v>9.9954989870441189</c:v>
                </c:pt>
                <c:pt idx="104">
                  <c:v>9.9919967974374373</c:v>
                </c:pt>
                <c:pt idx="105">
                  <c:v>9.9874921777190888</c:v>
                </c:pt>
                <c:pt idx="106">
                  <c:v>9.9819837707742245</c:v>
                </c:pt>
                <c:pt idx="107">
                  <c:v>9.975469913743412</c:v>
                </c:pt>
                <c:pt idx="108">
                  <c:v>9.9679486355016902</c:v>
                </c:pt>
                <c:pt idx="109">
                  <c:v>9.959417653658269</c:v>
                </c:pt>
                <c:pt idx="110">
                  <c:v>9.9498743710661994</c:v>
                </c:pt>
                <c:pt idx="111">
                  <c:v>9.9393158718294092</c:v>
                </c:pt>
                <c:pt idx="112">
                  <c:v>9.9277389167926859</c:v>
                </c:pt>
                <c:pt idx="113">
                  <c:v>9.9151399384980952</c:v>
                </c:pt>
                <c:pt idx="114">
                  <c:v>9.9015150355892505</c:v>
                </c:pt>
                <c:pt idx="115">
                  <c:v>9.8868599666425947</c:v>
                </c:pt>
                <c:pt idx="116">
                  <c:v>9.8711701434024519</c:v>
                </c:pt>
                <c:pt idx="117">
                  <c:v>9.8544406233941046</c:v>
                </c:pt>
                <c:pt idx="118">
                  <c:v>9.8366661018863493</c:v>
                </c:pt>
                <c:pt idx="119">
                  <c:v>9.8178409031721436</c:v>
                </c:pt>
                <c:pt idx="120">
                  <c:v>9.7979589711327115</c:v>
                </c:pt>
                <c:pt idx="121">
                  <c:v>9.7770138590471465</c:v>
                </c:pt>
                <c:pt idx="122">
                  <c:v>9.7549987186057585</c:v>
                </c:pt>
                <c:pt idx="123">
                  <c:v>9.7319062880814879</c:v>
                </c:pt>
                <c:pt idx="124">
                  <c:v>9.7077288796092773</c:v>
                </c:pt>
                <c:pt idx="125">
                  <c:v>9.6824583655185421</c:v>
                </c:pt>
                <c:pt idx="126">
                  <c:v>9.6560861636586477</c:v>
                </c:pt>
                <c:pt idx="127">
                  <c:v>9.6286032216516215</c:v>
                </c:pt>
                <c:pt idx="128">
                  <c:v>9.6</c:v>
                </c:pt>
                <c:pt idx="129">
                  <c:v>9.5702664539708611</c:v>
                </c:pt>
                <c:pt idx="130">
                  <c:v>9.5393920141694561</c:v>
                </c:pt>
                <c:pt idx="131">
                  <c:v>9.5073655657074632</c:v>
                </c:pt>
                <c:pt idx="132">
                  <c:v>9.474175425861608</c:v>
                </c:pt>
                <c:pt idx="133">
                  <c:v>9.4398093201081128</c:v>
                </c:pt>
                <c:pt idx="134">
                  <c:v>9.404254356406998</c:v>
                </c:pt>
                <c:pt idx="135">
                  <c:v>9.3674969975975966</c:v>
                </c:pt>
                <c:pt idx="136">
                  <c:v>9.3295230317524798</c:v>
                </c:pt>
                <c:pt idx="137">
                  <c:v>9.2903175403212135</c:v>
                </c:pt>
                <c:pt idx="138">
                  <c:v>9.2498648638777414</c:v>
                </c:pt>
                <c:pt idx="139">
                  <c:v>9.2081485652654411</c:v>
                </c:pt>
                <c:pt idx="140">
                  <c:v>9.1651513899116797</c:v>
                </c:pt>
                <c:pt idx="141">
                  <c:v>9.1208552230588538</c:v>
                </c:pt>
                <c:pt idx="142">
                  <c:v>9.0752410436307418</c:v>
                </c:pt>
                <c:pt idx="143">
                  <c:v>9.0282888744213317</c:v>
                </c:pt>
                <c:pt idx="144">
                  <c:v>8.9799777282574595</c:v>
                </c:pt>
                <c:pt idx="145">
                  <c:v>8.9302855497458751</c:v>
                </c:pt>
                <c:pt idx="146">
                  <c:v>8.8791891521692445</c:v>
                </c:pt>
                <c:pt idx="147">
                  <c:v>8.8266641490429443</c:v>
                </c:pt>
                <c:pt idx="148">
                  <c:v>8.7726848797845225</c:v>
                </c:pt>
                <c:pt idx="149">
                  <c:v>8.7172243288790039</c:v>
                </c:pt>
                <c:pt idx="150">
                  <c:v>8.6602540378443873</c:v>
                </c:pt>
                <c:pt idx="151">
                  <c:v>8.6017440092111546</c:v>
                </c:pt>
                <c:pt idx="152">
                  <c:v>8.541662601625049</c:v>
                </c:pt>
                <c:pt idx="153">
                  <c:v>8.4799764150615413</c:v>
                </c:pt>
                <c:pt idx="154">
                  <c:v>8.4166501650003251</c:v>
                </c:pt>
                <c:pt idx="155">
                  <c:v>8.3516465442450336</c:v>
                </c:pt>
                <c:pt idx="156">
                  <c:v>8.2849260708831913</c:v>
                </c:pt>
                <c:pt idx="157">
                  <c:v>8.2164469206585871</c:v>
                </c:pt>
                <c:pt idx="158">
                  <c:v>8.1461647417665191</c:v>
                </c:pt>
                <c:pt idx="159">
                  <c:v>8.0740324497737799</c:v>
                </c:pt>
                <c:pt idx="160">
                  <c:v>8</c:v>
                </c:pt>
                <c:pt idx="161">
                  <c:v>7.9240141342630119</c:v>
                </c:pt>
                <c:pt idx="162">
                  <c:v>7.8460180983732126</c:v>
                </c:pt>
                <c:pt idx="163">
                  <c:v>7.7659513261415682</c:v>
                </c:pt>
                <c:pt idx="164">
                  <c:v>7.6837490849194161</c:v>
                </c:pt>
                <c:pt idx="165">
                  <c:v>7.5993420767853319</c:v>
                </c:pt>
                <c:pt idx="166">
                  <c:v>7.512655988397178</c:v>
                </c:pt>
                <c:pt idx="167">
                  <c:v>7.4236109811869859</c:v>
                </c:pt>
                <c:pt idx="168">
                  <c:v>7.332121111929343</c:v>
                </c:pt>
                <c:pt idx="169">
                  <c:v>7.2380936716790263</c:v>
                </c:pt>
                <c:pt idx="170">
                  <c:v>7.1414284285428504</c:v>
                </c:pt>
                <c:pt idx="171">
                  <c:v>7.0420167565833003</c:v>
                </c:pt>
                <c:pt idx="172">
                  <c:v>6.9397406291589894</c:v>
                </c:pt>
                <c:pt idx="173">
                  <c:v>6.834471449936709</c:v>
                </c:pt>
                <c:pt idx="174">
                  <c:v>6.7260686883200922</c:v>
                </c:pt>
                <c:pt idx="175">
                  <c:v>6.6143782776614763</c:v>
                </c:pt>
                <c:pt idx="176">
                  <c:v>6.4992307237087665</c:v>
                </c:pt>
                <c:pt idx="177">
                  <c:v>6.3804388563797092</c:v>
                </c:pt>
                <c:pt idx="178">
                  <c:v>6.2577951388648057</c:v>
                </c:pt>
                <c:pt idx="179">
                  <c:v>6.1310684223877301</c:v>
                </c:pt>
                <c:pt idx="180">
                  <c:v>6</c:v>
                </c:pt>
                <c:pt idx="181">
                  <c:v>5.8642987645582973</c:v>
                </c:pt>
                <c:pt idx="182">
                  <c:v>5.7236352085016744</c:v>
                </c:pt>
                <c:pt idx="183">
                  <c:v>5.5776339069537348</c:v>
                </c:pt>
                <c:pt idx="184">
                  <c:v>5.4258639865002118</c:v>
                </c:pt>
                <c:pt idx="185">
                  <c:v>5.2678268764263692</c:v>
                </c:pt>
                <c:pt idx="186">
                  <c:v>5.1029403288692272</c:v>
                </c:pt>
                <c:pt idx="187">
                  <c:v>4.9305172142484217</c:v>
                </c:pt>
                <c:pt idx="188">
                  <c:v>4.7497368348151658</c:v>
                </c:pt>
                <c:pt idx="189">
                  <c:v>4.5596052460711949</c:v>
                </c:pt>
                <c:pt idx="190">
                  <c:v>4.358898943540674</c:v>
                </c:pt>
                <c:pt idx="191">
                  <c:v>4.1460824883255727</c:v>
                </c:pt>
                <c:pt idx="192">
                  <c:v>3.9191835884530777</c:v>
                </c:pt>
                <c:pt idx="193">
                  <c:v>3.6755951898978201</c:v>
                </c:pt>
                <c:pt idx="194">
                  <c:v>3.4117444218463899</c:v>
                </c:pt>
                <c:pt idx="195">
                  <c:v>3.1224989991991992</c:v>
                </c:pt>
                <c:pt idx="196">
                  <c:v>2.7999999999999954</c:v>
                </c:pt>
                <c:pt idx="197">
                  <c:v>2.4310491562286312</c:v>
                </c:pt>
                <c:pt idx="198">
                  <c:v>1.9899748742132348</c:v>
                </c:pt>
                <c:pt idx="199">
                  <c:v>1.4106735979665714</c:v>
                </c:pt>
                <c:pt idx="200">
                  <c:v>0</c:v>
                </c:pt>
                <c:pt idx="201">
                  <c:v>0</c:v>
                </c:pt>
              </c:numCache>
            </c:numRef>
          </c:yVal>
          <c:smooth val="1"/>
        </c:ser>
        <c:ser>
          <c:idx val="1"/>
          <c:order val="1"/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parallel!$AN$8:$AN$209</c:f>
              <c:numCache>
                <c:formatCode>General</c:formatCode>
                <c:ptCount val="202"/>
                <c:pt idx="0">
                  <c:v>-10</c:v>
                </c:pt>
                <c:pt idx="1">
                  <c:v>-9.9</c:v>
                </c:pt>
                <c:pt idx="2">
                  <c:v>-9.8000000000000007</c:v>
                </c:pt>
                <c:pt idx="3">
                  <c:v>-9.6999999999999993</c:v>
                </c:pt>
                <c:pt idx="4">
                  <c:v>-9.6</c:v>
                </c:pt>
                <c:pt idx="5">
                  <c:v>-9.5</c:v>
                </c:pt>
                <c:pt idx="6">
                  <c:v>-9.4</c:v>
                </c:pt>
                <c:pt idx="7">
                  <c:v>-9.3000000000000007</c:v>
                </c:pt>
                <c:pt idx="8">
                  <c:v>-9.1999999999999993</c:v>
                </c:pt>
                <c:pt idx="9">
                  <c:v>-9.1</c:v>
                </c:pt>
                <c:pt idx="10">
                  <c:v>-9</c:v>
                </c:pt>
                <c:pt idx="11">
                  <c:v>-8.9</c:v>
                </c:pt>
                <c:pt idx="12">
                  <c:v>-8.8000000000000007</c:v>
                </c:pt>
                <c:pt idx="13">
                  <c:v>-8.6999999999999993</c:v>
                </c:pt>
                <c:pt idx="14">
                  <c:v>-8.6</c:v>
                </c:pt>
                <c:pt idx="15">
                  <c:v>-8.5</c:v>
                </c:pt>
                <c:pt idx="16">
                  <c:v>-8.4</c:v>
                </c:pt>
                <c:pt idx="17">
                  <c:v>-8.3000000000000007</c:v>
                </c:pt>
                <c:pt idx="18">
                  <c:v>-8.1999999999999993</c:v>
                </c:pt>
                <c:pt idx="19">
                  <c:v>-8.1</c:v>
                </c:pt>
                <c:pt idx="20">
                  <c:v>-8</c:v>
                </c:pt>
                <c:pt idx="21">
                  <c:v>-7.9</c:v>
                </c:pt>
                <c:pt idx="22">
                  <c:v>-7.8</c:v>
                </c:pt>
                <c:pt idx="23">
                  <c:v>-7.6999999999999993</c:v>
                </c:pt>
                <c:pt idx="24">
                  <c:v>-7.6</c:v>
                </c:pt>
                <c:pt idx="25">
                  <c:v>-7.5</c:v>
                </c:pt>
                <c:pt idx="26">
                  <c:v>-7.4</c:v>
                </c:pt>
                <c:pt idx="27">
                  <c:v>-7.3</c:v>
                </c:pt>
                <c:pt idx="28">
                  <c:v>-7.1999999999999993</c:v>
                </c:pt>
                <c:pt idx="29">
                  <c:v>-7.1</c:v>
                </c:pt>
                <c:pt idx="30">
                  <c:v>-7</c:v>
                </c:pt>
                <c:pt idx="31">
                  <c:v>-6.9</c:v>
                </c:pt>
                <c:pt idx="32">
                  <c:v>-6.8</c:v>
                </c:pt>
                <c:pt idx="33">
                  <c:v>-6.6999999999999993</c:v>
                </c:pt>
                <c:pt idx="34">
                  <c:v>-6.6</c:v>
                </c:pt>
                <c:pt idx="35">
                  <c:v>-6.5</c:v>
                </c:pt>
                <c:pt idx="36">
                  <c:v>-6.4</c:v>
                </c:pt>
                <c:pt idx="37">
                  <c:v>-6.3</c:v>
                </c:pt>
                <c:pt idx="38">
                  <c:v>-6.1999999999999993</c:v>
                </c:pt>
                <c:pt idx="39">
                  <c:v>-6.1</c:v>
                </c:pt>
                <c:pt idx="40">
                  <c:v>-6</c:v>
                </c:pt>
                <c:pt idx="41">
                  <c:v>-5.8999999999999995</c:v>
                </c:pt>
                <c:pt idx="42">
                  <c:v>-5.8</c:v>
                </c:pt>
                <c:pt idx="43">
                  <c:v>-5.7</c:v>
                </c:pt>
                <c:pt idx="44">
                  <c:v>-5.6</c:v>
                </c:pt>
                <c:pt idx="45">
                  <c:v>-5.5</c:v>
                </c:pt>
                <c:pt idx="46">
                  <c:v>-5.3999999999999995</c:v>
                </c:pt>
                <c:pt idx="47">
                  <c:v>-5.3</c:v>
                </c:pt>
                <c:pt idx="48">
                  <c:v>-5.1999999999999993</c:v>
                </c:pt>
                <c:pt idx="49">
                  <c:v>-5.0999999999999996</c:v>
                </c:pt>
                <c:pt idx="50">
                  <c:v>-5</c:v>
                </c:pt>
                <c:pt idx="51">
                  <c:v>-4.8999999999999995</c:v>
                </c:pt>
                <c:pt idx="52">
                  <c:v>-4.8</c:v>
                </c:pt>
                <c:pt idx="53">
                  <c:v>-4.6999999999999993</c:v>
                </c:pt>
                <c:pt idx="54">
                  <c:v>-4.5999999999999996</c:v>
                </c:pt>
                <c:pt idx="55">
                  <c:v>-4.5</c:v>
                </c:pt>
                <c:pt idx="56">
                  <c:v>-4.3999999999999995</c:v>
                </c:pt>
                <c:pt idx="57">
                  <c:v>-4.3</c:v>
                </c:pt>
                <c:pt idx="58">
                  <c:v>-4.1999999999999993</c:v>
                </c:pt>
                <c:pt idx="59">
                  <c:v>-4.0999999999999996</c:v>
                </c:pt>
                <c:pt idx="60">
                  <c:v>-4</c:v>
                </c:pt>
                <c:pt idx="61">
                  <c:v>-3.8999999999999995</c:v>
                </c:pt>
                <c:pt idx="62">
                  <c:v>-3.8</c:v>
                </c:pt>
                <c:pt idx="63">
                  <c:v>-3.6999999999999993</c:v>
                </c:pt>
                <c:pt idx="64">
                  <c:v>-3.5999999999999996</c:v>
                </c:pt>
                <c:pt idx="65">
                  <c:v>-3.5</c:v>
                </c:pt>
                <c:pt idx="66">
                  <c:v>-3.3999999999999995</c:v>
                </c:pt>
                <c:pt idx="67">
                  <c:v>-3.3</c:v>
                </c:pt>
                <c:pt idx="68">
                  <c:v>-3.1999999999999993</c:v>
                </c:pt>
                <c:pt idx="69">
                  <c:v>-3.0999999999999996</c:v>
                </c:pt>
                <c:pt idx="70">
                  <c:v>-3</c:v>
                </c:pt>
                <c:pt idx="71">
                  <c:v>-2.8999999999999995</c:v>
                </c:pt>
                <c:pt idx="72">
                  <c:v>-2.8</c:v>
                </c:pt>
                <c:pt idx="73">
                  <c:v>-2.6999999999999993</c:v>
                </c:pt>
                <c:pt idx="74">
                  <c:v>-2.5999999999999996</c:v>
                </c:pt>
                <c:pt idx="75">
                  <c:v>-2.5</c:v>
                </c:pt>
                <c:pt idx="76">
                  <c:v>-2.3999999999999995</c:v>
                </c:pt>
                <c:pt idx="77">
                  <c:v>-2.2999999999999998</c:v>
                </c:pt>
                <c:pt idx="78">
                  <c:v>-2.1999999999999993</c:v>
                </c:pt>
                <c:pt idx="79">
                  <c:v>-2.0999999999999996</c:v>
                </c:pt>
                <c:pt idx="80">
                  <c:v>-2</c:v>
                </c:pt>
                <c:pt idx="81">
                  <c:v>-1.9000000000000004</c:v>
                </c:pt>
                <c:pt idx="82">
                  <c:v>-1.7999999999999989</c:v>
                </c:pt>
                <c:pt idx="83">
                  <c:v>-1.6999999999999993</c:v>
                </c:pt>
                <c:pt idx="84">
                  <c:v>-1.5999999999999996</c:v>
                </c:pt>
                <c:pt idx="85">
                  <c:v>-1.5</c:v>
                </c:pt>
                <c:pt idx="86">
                  <c:v>-1.4000000000000004</c:v>
                </c:pt>
                <c:pt idx="87">
                  <c:v>-1.2999999999999989</c:v>
                </c:pt>
                <c:pt idx="88">
                  <c:v>-1.1999999999999993</c:v>
                </c:pt>
                <c:pt idx="89">
                  <c:v>-1.0999999999999996</c:v>
                </c:pt>
                <c:pt idx="90">
                  <c:v>-1</c:v>
                </c:pt>
                <c:pt idx="91">
                  <c:v>-0.90000000000000036</c:v>
                </c:pt>
                <c:pt idx="92">
                  <c:v>-0.79999999999999893</c:v>
                </c:pt>
                <c:pt idx="93">
                  <c:v>-0.69999999999999929</c:v>
                </c:pt>
                <c:pt idx="94">
                  <c:v>-0.59999999999999964</c:v>
                </c:pt>
                <c:pt idx="95">
                  <c:v>-0.5</c:v>
                </c:pt>
                <c:pt idx="96">
                  <c:v>-0.39999999999999858</c:v>
                </c:pt>
                <c:pt idx="97">
                  <c:v>-0.29999999999999893</c:v>
                </c:pt>
                <c:pt idx="98">
                  <c:v>-0.19999999999999929</c:v>
                </c:pt>
                <c:pt idx="99">
                  <c:v>-9.9999999999999645E-2</c:v>
                </c:pt>
                <c:pt idx="100">
                  <c:v>0</c:v>
                </c:pt>
                <c:pt idx="101">
                  <c:v>0.10000000000000142</c:v>
                </c:pt>
                <c:pt idx="102">
                  <c:v>0.20000000000000107</c:v>
                </c:pt>
                <c:pt idx="103">
                  <c:v>0.30000000000000071</c:v>
                </c:pt>
                <c:pt idx="104">
                  <c:v>0.40000000000000036</c:v>
                </c:pt>
                <c:pt idx="105">
                  <c:v>0.5</c:v>
                </c:pt>
                <c:pt idx="106">
                  <c:v>0.60000000000000142</c:v>
                </c:pt>
                <c:pt idx="107">
                  <c:v>0.70000000000000107</c:v>
                </c:pt>
                <c:pt idx="108">
                  <c:v>0.80000000000000071</c:v>
                </c:pt>
                <c:pt idx="109">
                  <c:v>0.90000000000000036</c:v>
                </c:pt>
                <c:pt idx="110">
                  <c:v>1</c:v>
                </c:pt>
                <c:pt idx="111">
                  <c:v>1.1000000000000014</c:v>
                </c:pt>
                <c:pt idx="112">
                  <c:v>1.2000000000000011</c:v>
                </c:pt>
                <c:pt idx="113">
                  <c:v>1.3000000000000007</c:v>
                </c:pt>
                <c:pt idx="114">
                  <c:v>1.4000000000000004</c:v>
                </c:pt>
                <c:pt idx="115">
                  <c:v>1.5</c:v>
                </c:pt>
                <c:pt idx="116">
                  <c:v>1.6000000000000014</c:v>
                </c:pt>
                <c:pt idx="117">
                  <c:v>1.7000000000000011</c:v>
                </c:pt>
                <c:pt idx="118">
                  <c:v>1.8000000000000007</c:v>
                </c:pt>
                <c:pt idx="119">
                  <c:v>1.9000000000000004</c:v>
                </c:pt>
                <c:pt idx="120">
                  <c:v>2</c:v>
                </c:pt>
                <c:pt idx="121">
                  <c:v>2.1000000000000014</c:v>
                </c:pt>
                <c:pt idx="122">
                  <c:v>2.2000000000000011</c:v>
                </c:pt>
                <c:pt idx="123">
                  <c:v>2.3000000000000007</c:v>
                </c:pt>
                <c:pt idx="124">
                  <c:v>2.4000000000000004</c:v>
                </c:pt>
                <c:pt idx="125">
                  <c:v>2.5</c:v>
                </c:pt>
                <c:pt idx="126">
                  <c:v>2.6000000000000014</c:v>
                </c:pt>
                <c:pt idx="127">
                  <c:v>2.7000000000000011</c:v>
                </c:pt>
                <c:pt idx="128">
                  <c:v>2.8000000000000007</c:v>
                </c:pt>
                <c:pt idx="129">
                  <c:v>2.9000000000000004</c:v>
                </c:pt>
                <c:pt idx="130">
                  <c:v>3</c:v>
                </c:pt>
                <c:pt idx="131">
                  <c:v>3.1000000000000014</c:v>
                </c:pt>
                <c:pt idx="132">
                  <c:v>3.2000000000000011</c:v>
                </c:pt>
                <c:pt idx="133">
                  <c:v>3.3000000000000007</c:v>
                </c:pt>
                <c:pt idx="134">
                  <c:v>3.4000000000000004</c:v>
                </c:pt>
                <c:pt idx="135">
                  <c:v>3.5</c:v>
                </c:pt>
                <c:pt idx="136">
                  <c:v>3.6000000000000014</c:v>
                </c:pt>
                <c:pt idx="137">
                  <c:v>3.7000000000000011</c:v>
                </c:pt>
                <c:pt idx="138">
                  <c:v>3.8000000000000007</c:v>
                </c:pt>
                <c:pt idx="139">
                  <c:v>3.9000000000000004</c:v>
                </c:pt>
                <c:pt idx="140">
                  <c:v>4</c:v>
                </c:pt>
                <c:pt idx="141">
                  <c:v>4.1000000000000014</c:v>
                </c:pt>
                <c:pt idx="142">
                  <c:v>4.2000000000000011</c:v>
                </c:pt>
                <c:pt idx="143">
                  <c:v>4.3000000000000007</c:v>
                </c:pt>
                <c:pt idx="144">
                  <c:v>4.4000000000000004</c:v>
                </c:pt>
                <c:pt idx="145">
                  <c:v>4.5</c:v>
                </c:pt>
                <c:pt idx="146">
                  <c:v>4.6000000000000014</c:v>
                </c:pt>
                <c:pt idx="147">
                  <c:v>4.7000000000000011</c:v>
                </c:pt>
                <c:pt idx="148">
                  <c:v>4.8000000000000007</c:v>
                </c:pt>
                <c:pt idx="149">
                  <c:v>4.9000000000000004</c:v>
                </c:pt>
                <c:pt idx="150">
                  <c:v>5</c:v>
                </c:pt>
                <c:pt idx="151">
                  <c:v>5.1000000000000014</c:v>
                </c:pt>
                <c:pt idx="152">
                  <c:v>5.2000000000000011</c:v>
                </c:pt>
                <c:pt idx="153">
                  <c:v>5.3000000000000007</c:v>
                </c:pt>
                <c:pt idx="154">
                  <c:v>5.4</c:v>
                </c:pt>
                <c:pt idx="155">
                  <c:v>5.5</c:v>
                </c:pt>
                <c:pt idx="156">
                  <c:v>5.6000000000000014</c:v>
                </c:pt>
                <c:pt idx="157">
                  <c:v>5.7000000000000011</c:v>
                </c:pt>
                <c:pt idx="158">
                  <c:v>5.8000000000000007</c:v>
                </c:pt>
                <c:pt idx="159">
                  <c:v>5.9</c:v>
                </c:pt>
                <c:pt idx="160">
                  <c:v>6</c:v>
                </c:pt>
                <c:pt idx="161">
                  <c:v>6.1000000000000014</c:v>
                </c:pt>
                <c:pt idx="162">
                  <c:v>6.1999999999999993</c:v>
                </c:pt>
                <c:pt idx="163">
                  <c:v>6.3000000000000007</c:v>
                </c:pt>
                <c:pt idx="164">
                  <c:v>6.4000000000000021</c:v>
                </c:pt>
                <c:pt idx="165">
                  <c:v>6.5</c:v>
                </c:pt>
                <c:pt idx="166">
                  <c:v>6.6000000000000014</c:v>
                </c:pt>
                <c:pt idx="167">
                  <c:v>6.6999999999999993</c:v>
                </c:pt>
                <c:pt idx="168">
                  <c:v>6.8000000000000007</c:v>
                </c:pt>
                <c:pt idx="169">
                  <c:v>6.9000000000000021</c:v>
                </c:pt>
                <c:pt idx="170">
                  <c:v>7</c:v>
                </c:pt>
                <c:pt idx="171">
                  <c:v>7.1000000000000014</c:v>
                </c:pt>
                <c:pt idx="172">
                  <c:v>7.1999999999999993</c:v>
                </c:pt>
                <c:pt idx="173">
                  <c:v>7.3000000000000007</c:v>
                </c:pt>
                <c:pt idx="174">
                  <c:v>7.4000000000000021</c:v>
                </c:pt>
                <c:pt idx="175">
                  <c:v>7.5</c:v>
                </c:pt>
                <c:pt idx="176">
                  <c:v>7.6000000000000014</c:v>
                </c:pt>
                <c:pt idx="177">
                  <c:v>7.6999999999999993</c:v>
                </c:pt>
                <c:pt idx="178">
                  <c:v>7.8000000000000007</c:v>
                </c:pt>
                <c:pt idx="179">
                  <c:v>7.9000000000000021</c:v>
                </c:pt>
                <c:pt idx="180">
                  <c:v>8</c:v>
                </c:pt>
                <c:pt idx="181">
                  <c:v>8.1000000000000014</c:v>
                </c:pt>
                <c:pt idx="182">
                  <c:v>8.1999999999999993</c:v>
                </c:pt>
                <c:pt idx="183">
                  <c:v>8.3000000000000007</c:v>
                </c:pt>
                <c:pt idx="184">
                  <c:v>8.4000000000000021</c:v>
                </c:pt>
                <c:pt idx="185">
                  <c:v>8.5</c:v>
                </c:pt>
                <c:pt idx="186">
                  <c:v>8.6000000000000014</c:v>
                </c:pt>
                <c:pt idx="187">
                  <c:v>8.6999999999999993</c:v>
                </c:pt>
                <c:pt idx="188">
                  <c:v>8.8000000000000007</c:v>
                </c:pt>
                <c:pt idx="189">
                  <c:v>8.9000000000000021</c:v>
                </c:pt>
                <c:pt idx="190">
                  <c:v>9</c:v>
                </c:pt>
                <c:pt idx="191">
                  <c:v>9.1000000000000014</c:v>
                </c:pt>
                <c:pt idx="192">
                  <c:v>9.2000000000000028</c:v>
                </c:pt>
                <c:pt idx="193">
                  <c:v>9.3000000000000007</c:v>
                </c:pt>
                <c:pt idx="194">
                  <c:v>9.4000000000000021</c:v>
                </c:pt>
                <c:pt idx="195">
                  <c:v>9.5</c:v>
                </c:pt>
                <c:pt idx="196">
                  <c:v>9.6000000000000014</c:v>
                </c:pt>
                <c:pt idx="197">
                  <c:v>9.7000000000000028</c:v>
                </c:pt>
                <c:pt idx="198">
                  <c:v>9.8000000000000007</c:v>
                </c:pt>
                <c:pt idx="199">
                  <c:v>9.9000000000000021</c:v>
                </c:pt>
                <c:pt idx="200">
                  <c:v>10</c:v>
                </c:pt>
                <c:pt idx="201">
                  <c:v>10.100000000000001</c:v>
                </c:pt>
              </c:numCache>
            </c:numRef>
          </c:xVal>
          <c:yVal>
            <c:numRef>
              <c:f>parallel!$AP$8:$AP$209</c:f>
              <c:numCache>
                <c:formatCode>General</c:formatCode>
                <c:ptCount val="202"/>
                <c:pt idx="0">
                  <c:v>0</c:v>
                </c:pt>
                <c:pt idx="1">
                  <c:v>-1.4106735979665865</c:v>
                </c:pt>
                <c:pt idx="2">
                  <c:v>-1.9899748742132348</c:v>
                </c:pt>
                <c:pt idx="3">
                  <c:v>-2.4310491562286458</c:v>
                </c:pt>
                <c:pt idx="4">
                  <c:v>-2.8000000000000007</c:v>
                </c:pt>
                <c:pt idx="5">
                  <c:v>-3.1224989991991992</c:v>
                </c:pt>
                <c:pt idx="6">
                  <c:v>-3.4117444218463944</c:v>
                </c:pt>
                <c:pt idx="7">
                  <c:v>-3.6755951898978201</c:v>
                </c:pt>
                <c:pt idx="8">
                  <c:v>-3.9191835884530866</c:v>
                </c:pt>
                <c:pt idx="9">
                  <c:v>-4.1460824883255771</c:v>
                </c:pt>
                <c:pt idx="10">
                  <c:v>-4.358898943540674</c:v>
                </c:pt>
                <c:pt idx="11">
                  <c:v>-4.5596052460711984</c:v>
                </c:pt>
                <c:pt idx="12">
                  <c:v>-4.7497368348151658</c:v>
                </c:pt>
                <c:pt idx="13">
                  <c:v>-4.9305172142484217</c:v>
                </c:pt>
                <c:pt idx="14">
                  <c:v>-5.1029403288692299</c:v>
                </c:pt>
                <c:pt idx="15">
                  <c:v>-5.2678268764263692</c:v>
                </c:pt>
                <c:pt idx="16">
                  <c:v>-5.4258639865002145</c:v>
                </c:pt>
                <c:pt idx="17">
                  <c:v>-5.5776339069537348</c:v>
                </c:pt>
                <c:pt idx="18">
                  <c:v>-5.7236352085016744</c:v>
                </c:pt>
                <c:pt idx="19">
                  <c:v>-5.8642987645583</c:v>
                </c:pt>
                <c:pt idx="20">
                  <c:v>-6</c:v>
                </c:pt>
                <c:pt idx="21">
                  <c:v>-6.1310684223877319</c:v>
                </c:pt>
                <c:pt idx="22">
                  <c:v>-6.2577951388648065</c:v>
                </c:pt>
                <c:pt idx="23">
                  <c:v>-6.3804388563797092</c:v>
                </c:pt>
                <c:pt idx="24">
                  <c:v>-6.4992307237087683</c:v>
                </c:pt>
                <c:pt idx="25">
                  <c:v>-6.6143782776614763</c:v>
                </c:pt>
                <c:pt idx="26">
                  <c:v>-6.726068688320094</c:v>
                </c:pt>
                <c:pt idx="27">
                  <c:v>-6.8344714499367107</c:v>
                </c:pt>
                <c:pt idx="28">
                  <c:v>-6.9397406291589894</c:v>
                </c:pt>
                <c:pt idx="29">
                  <c:v>-7.0420167565833021</c:v>
                </c:pt>
                <c:pt idx="30">
                  <c:v>-7.1414284285428504</c:v>
                </c:pt>
                <c:pt idx="31">
                  <c:v>-7.2380936716790281</c:v>
                </c:pt>
                <c:pt idx="32">
                  <c:v>-7.3321211119293448</c:v>
                </c:pt>
                <c:pt idx="33">
                  <c:v>-7.4236109811869859</c:v>
                </c:pt>
                <c:pt idx="34">
                  <c:v>-7.5126559883971797</c:v>
                </c:pt>
                <c:pt idx="35">
                  <c:v>-7.5993420767853319</c:v>
                </c:pt>
                <c:pt idx="36">
                  <c:v>-7.6837490849194179</c:v>
                </c:pt>
                <c:pt idx="37">
                  <c:v>-7.7659513261415691</c:v>
                </c:pt>
                <c:pt idx="38">
                  <c:v>-7.8460180983732126</c:v>
                </c:pt>
                <c:pt idx="39">
                  <c:v>-7.9240141342630128</c:v>
                </c:pt>
                <c:pt idx="40">
                  <c:v>-8</c:v>
                </c:pt>
                <c:pt idx="41">
                  <c:v>-8.0740324497737799</c:v>
                </c:pt>
                <c:pt idx="42">
                  <c:v>-8.1461647417665208</c:v>
                </c:pt>
                <c:pt idx="43">
                  <c:v>-8.2164469206585871</c:v>
                </c:pt>
                <c:pt idx="44">
                  <c:v>-8.2849260708831913</c:v>
                </c:pt>
                <c:pt idx="45">
                  <c:v>-8.3516465442450336</c:v>
                </c:pt>
                <c:pt idx="46">
                  <c:v>-8.4166501650003251</c:v>
                </c:pt>
                <c:pt idx="47">
                  <c:v>-8.4799764150615413</c:v>
                </c:pt>
                <c:pt idx="48">
                  <c:v>-8.541662601625049</c:v>
                </c:pt>
                <c:pt idx="49">
                  <c:v>-8.6017440092111563</c:v>
                </c:pt>
                <c:pt idx="50">
                  <c:v>-8.6602540378443873</c:v>
                </c:pt>
                <c:pt idx="51">
                  <c:v>-8.7172243288790039</c:v>
                </c:pt>
                <c:pt idx="52">
                  <c:v>-8.7726848797845243</c:v>
                </c:pt>
                <c:pt idx="53">
                  <c:v>-8.8266641490429443</c:v>
                </c:pt>
                <c:pt idx="54">
                  <c:v>-8.8791891521692463</c:v>
                </c:pt>
                <c:pt idx="55">
                  <c:v>-8.9302855497458751</c:v>
                </c:pt>
                <c:pt idx="56">
                  <c:v>-8.9799777282574595</c:v>
                </c:pt>
                <c:pt idx="57">
                  <c:v>-9.0282888744213317</c:v>
                </c:pt>
                <c:pt idx="58">
                  <c:v>-9.0752410436307436</c:v>
                </c:pt>
                <c:pt idx="59">
                  <c:v>-9.1208552230588555</c:v>
                </c:pt>
                <c:pt idx="60">
                  <c:v>-9.1651513899116797</c:v>
                </c:pt>
                <c:pt idx="61">
                  <c:v>-9.2081485652654411</c:v>
                </c:pt>
                <c:pt idx="62">
                  <c:v>-9.2498648638777414</c:v>
                </c:pt>
                <c:pt idx="63">
                  <c:v>-9.2903175403212135</c:v>
                </c:pt>
                <c:pt idx="64">
                  <c:v>-9.3295230317524815</c:v>
                </c:pt>
                <c:pt idx="65">
                  <c:v>-9.3674969975975966</c:v>
                </c:pt>
                <c:pt idx="66">
                  <c:v>-9.404254356406998</c:v>
                </c:pt>
                <c:pt idx="67">
                  <c:v>-9.4398093201081128</c:v>
                </c:pt>
                <c:pt idx="68">
                  <c:v>-9.4741754258616098</c:v>
                </c:pt>
                <c:pt idx="69">
                  <c:v>-9.5073655657074632</c:v>
                </c:pt>
                <c:pt idx="70">
                  <c:v>-9.5393920141694561</c:v>
                </c:pt>
                <c:pt idx="71">
                  <c:v>-9.5702664539708611</c:v>
                </c:pt>
                <c:pt idx="72">
                  <c:v>-9.6</c:v>
                </c:pt>
                <c:pt idx="73">
                  <c:v>-9.6286032216516233</c:v>
                </c:pt>
                <c:pt idx="74">
                  <c:v>-9.6560861636586495</c:v>
                </c:pt>
                <c:pt idx="75">
                  <c:v>-9.6824583655185421</c:v>
                </c:pt>
                <c:pt idx="76">
                  <c:v>-9.7077288796092773</c:v>
                </c:pt>
                <c:pt idx="77">
                  <c:v>-9.7319062880814879</c:v>
                </c:pt>
                <c:pt idx="78">
                  <c:v>-9.7549987186057585</c:v>
                </c:pt>
                <c:pt idx="79">
                  <c:v>-9.7770138590471483</c:v>
                </c:pt>
                <c:pt idx="80">
                  <c:v>-9.7979589711327115</c:v>
                </c:pt>
                <c:pt idx="81">
                  <c:v>-9.8178409031721436</c:v>
                </c:pt>
                <c:pt idx="82">
                  <c:v>-9.836666101886351</c:v>
                </c:pt>
                <c:pt idx="83">
                  <c:v>-9.8544406233941046</c:v>
                </c:pt>
                <c:pt idx="84">
                  <c:v>-9.8711701434024519</c:v>
                </c:pt>
                <c:pt idx="85">
                  <c:v>-9.8868599666425947</c:v>
                </c:pt>
                <c:pt idx="86">
                  <c:v>-9.9015150355892505</c:v>
                </c:pt>
                <c:pt idx="87">
                  <c:v>-9.9151399384980952</c:v>
                </c:pt>
                <c:pt idx="88">
                  <c:v>-9.9277389167926859</c:v>
                </c:pt>
                <c:pt idx="89">
                  <c:v>-9.9393158718294092</c:v>
                </c:pt>
                <c:pt idx="90">
                  <c:v>-9.9498743710661994</c:v>
                </c:pt>
                <c:pt idx="91">
                  <c:v>-9.959417653658269</c:v>
                </c:pt>
                <c:pt idx="92">
                  <c:v>-9.9679486355016902</c:v>
                </c:pt>
                <c:pt idx="93">
                  <c:v>-9.975469913743412</c:v>
                </c:pt>
                <c:pt idx="94">
                  <c:v>-9.9819837707742245</c:v>
                </c:pt>
                <c:pt idx="95">
                  <c:v>-9.9874921777190888</c:v>
                </c:pt>
                <c:pt idx="96">
                  <c:v>-9.9919967974374373</c:v>
                </c:pt>
                <c:pt idx="97">
                  <c:v>-9.9954989870441189</c:v>
                </c:pt>
                <c:pt idx="98">
                  <c:v>-9.9979997999599899</c:v>
                </c:pt>
                <c:pt idx="99">
                  <c:v>-9.9994999874993749</c:v>
                </c:pt>
                <c:pt idx="100">
                  <c:v>-10</c:v>
                </c:pt>
                <c:pt idx="101">
                  <c:v>-9.9994999874993749</c:v>
                </c:pt>
                <c:pt idx="102">
                  <c:v>-9.9979997999599899</c:v>
                </c:pt>
                <c:pt idx="103">
                  <c:v>-9.9954989870441189</c:v>
                </c:pt>
                <c:pt idx="104">
                  <c:v>-9.9919967974374373</c:v>
                </c:pt>
                <c:pt idx="105">
                  <c:v>-9.9874921777190888</c:v>
                </c:pt>
                <c:pt idx="106">
                  <c:v>-9.9819837707742245</c:v>
                </c:pt>
                <c:pt idx="107">
                  <c:v>-9.975469913743412</c:v>
                </c:pt>
                <c:pt idx="108">
                  <c:v>-9.9679486355016902</c:v>
                </c:pt>
                <c:pt idx="109">
                  <c:v>-9.959417653658269</c:v>
                </c:pt>
                <c:pt idx="110">
                  <c:v>-9.9498743710661994</c:v>
                </c:pt>
                <c:pt idx="111">
                  <c:v>-9.9393158718294092</c:v>
                </c:pt>
                <c:pt idx="112">
                  <c:v>-9.9277389167926859</c:v>
                </c:pt>
                <c:pt idx="113">
                  <c:v>-9.9151399384980952</c:v>
                </c:pt>
                <c:pt idx="114">
                  <c:v>-9.9015150355892505</c:v>
                </c:pt>
                <c:pt idx="115">
                  <c:v>-9.8868599666425947</c:v>
                </c:pt>
                <c:pt idx="116">
                  <c:v>-9.8711701434024519</c:v>
                </c:pt>
                <c:pt idx="117">
                  <c:v>-9.8544406233941046</c:v>
                </c:pt>
                <c:pt idx="118">
                  <c:v>-9.8366661018863493</c:v>
                </c:pt>
                <c:pt idx="119">
                  <c:v>-9.8178409031721436</c:v>
                </c:pt>
                <c:pt idx="120">
                  <c:v>-9.7979589711327115</c:v>
                </c:pt>
                <c:pt idx="121">
                  <c:v>-9.7770138590471465</c:v>
                </c:pt>
                <c:pt idx="122">
                  <c:v>-9.7549987186057585</c:v>
                </c:pt>
                <c:pt idx="123">
                  <c:v>-9.7319062880814879</c:v>
                </c:pt>
                <c:pt idx="124">
                  <c:v>-9.7077288796092773</c:v>
                </c:pt>
                <c:pt idx="125">
                  <c:v>-9.6824583655185421</c:v>
                </c:pt>
                <c:pt idx="126">
                  <c:v>-9.6560861636586477</c:v>
                </c:pt>
                <c:pt idx="127">
                  <c:v>-9.6286032216516215</c:v>
                </c:pt>
                <c:pt idx="128">
                  <c:v>-9.6</c:v>
                </c:pt>
                <c:pt idx="129">
                  <c:v>-9.5702664539708611</c:v>
                </c:pt>
                <c:pt idx="130">
                  <c:v>-9.5393920141694561</c:v>
                </c:pt>
                <c:pt idx="131">
                  <c:v>-9.5073655657074632</c:v>
                </c:pt>
                <c:pt idx="132">
                  <c:v>-9.474175425861608</c:v>
                </c:pt>
                <c:pt idx="133">
                  <c:v>-9.4398093201081128</c:v>
                </c:pt>
                <c:pt idx="134">
                  <c:v>-9.404254356406998</c:v>
                </c:pt>
                <c:pt idx="135">
                  <c:v>-9.3674969975975966</c:v>
                </c:pt>
                <c:pt idx="136">
                  <c:v>-9.3295230317524798</c:v>
                </c:pt>
                <c:pt idx="137">
                  <c:v>-9.2903175403212135</c:v>
                </c:pt>
                <c:pt idx="138">
                  <c:v>-9.2498648638777414</c:v>
                </c:pt>
                <c:pt idx="139">
                  <c:v>-9.2081485652654411</c:v>
                </c:pt>
                <c:pt idx="140">
                  <c:v>-9.1651513899116797</c:v>
                </c:pt>
                <c:pt idx="141">
                  <c:v>-9.1208552230588538</c:v>
                </c:pt>
                <c:pt idx="142">
                  <c:v>-9.0752410436307418</c:v>
                </c:pt>
                <c:pt idx="143">
                  <c:v>-9.0282888744213317</c:v>
                </c:pt>
                <c:pt idx="144">
                  <c:v>-8.9799777282574595</c:v>
                </c:pt>
                <c:pt idx="145">
                  <c:v>-8.9302855497458751</c:v>
                </c:pt>
                <c:pt idx="146">
                  <c:v>-8.8791891521692445</c:v>
                </c:pt>
                <c:pt idx="147">
                  <c:v>-8.8266641490429443</c:v>
                </c:pt>
                <c:pt idx="148">
                  <c:v>-8.7726848797845225</c:v>
                </c:pt>
                <c:pt idx="149">
                  <c:v>-8.7172243288790039</c:v>
                </c:pt>
                <c:pt idx="150">
                  <c:v>-8.6602540378443873</c:v>
                </c:pt>
                <c:pt idx="151">
                  <c:v>-8.6017440092111546</c:v>
                </c:pt>
                <c:pt idx="152">
                  <c:v>-8.541662601625049</c:v>
                </c:pt>
                <c:pt idx="153">
                  <c:v>-8.4799764150615413</c:v>
                </c:pt>
                <c:pt idx="154">
                  <c:v>-8.4166501650003251</c:v>
                </c:pt>
                <c:pt idx="155">
                  <c:v>-8.3516465442450336</c:v>
                </c:pt>
                <c:pt idx="156">
                  <c:v>-8.2849260708831913</c:v>
                </c:pt>
                <c:pt idx="157">
                  <c:v>-8.2164469206585871</c:v>
                </c:pt>
                <c:pt idx="158">
                  <c:v>-8.1461647417665191</c:v>
                </c:pt>
                <c:pt idx="159">
                  <c:v>-8.0740324497737799</c:v>
                </c:pt>
                <c:pt idx="160">
                  <c:v>-8</c:v>
                </c:pt>
                <c:pt idx="161">
                  <c:v>-7.9240141342630119</c:v>
                </c:pt>
                <c:pt idx="162">
                  <c:v>-7.8460180983732126</c:v>
                </c:pt>
                <c:pt idx="163">
                  <c:v>-7.7659513261415682</c:v>
                </c:pt>
                <c:pt idx="164">
                  <c:v>-7.6837490849194161</c:v>
                </c:pt>
                <c:pt idx="165">
                  <c:v>-7.5993420767853319</c:v>
                </c:pt>
                <c:pt idx="166">
                  <c:v>-7.512655988397178</c:v>
                </c:pt>
                <c:pt idx="167">
                  <c:v>-7.4236109811869859</c:v>
                </c:pt>
                <c:pt idx="168">
                  <c:v>-7.332121111929343</c:v>
                </c:pt>
                <c:pt idx="169">
                  <c:v>-7.2380936716790263</c:v>
                </c:pt>
                <c:pt idx="170">
                  <c:v>-7.1414284285428504</c:v>
                </c:pt>
                <c:pt idx="171">
                  <c:v>-7.0420167565833003</c:v>
                </c:pt>
                <c:pt idx="172">
                  <c:v>-6.9397406291589894</c:v>
                </c:pt>
                <c:pt idx="173">
                  <c:v>-6.834471449936709</c:v>
                </c:pt>
                <c:pt idx="174">
                  <c:v>-6.7260686883200922</c:v>
                </c:pt>
                <c:pt idx="175">
                  <c:v>-6.6143782776614763</c:v>
                </c:pt>
                <c:pt idx="176">
                  <c:v>-6.4992307237087665</c:v>
                </c:pt>
                <c:pt idx="177">
                  <c:v>-6.3804388563797092</c:v>
                </c:pt>
                <c:pt idx="178">
                  <c:v>-6.2577951388648057</c:v>
                </c:pt>
                <c:pt idx="179">
                  <c:v>-6.1310684223877301</c:v>
                </c:pt>
                <c:pt idx="180">
                  <c:v>-6</c:v>
                </c:pt>
                <c:pt idx="181">
                  <c:v>-5.8642987645582973</c:v>
                </c:pt>
                <c:pt idx="182">
                  <c:v>-5.7236352085016744</c:v>
                </c:pt>
                <c:pt idx="183">
                  <c:v>-5.5776339069537348</c:v>
                </c:pt>
                <c:pt idx="184">
                  <c:v>-5.4258639865002118</c:v>
                </c:pt>
                <c:pt idx="185">
                  <c:v>-5.2678268764263692</c:v>
                </c:pt>
                <c:pt idx="186">
                  <c:v>-5.1029403288692272</c:v>
                </c:pt>
                <c:pt idx="187">
                  <c:v>-4.9305172142484217</c:v>
                </c:pt>
                <c:pt idx="188">
                  <c:v>-4.7497368348151658</c:v>
                </c:pt>
                <c:pt idx="189">
                  <c:v>-4.5596052460711949</c:v>
                </c:pt>
                <c:pt idx="190">
                  <c:v>-4.358898943540674</c:v>
                </c:pt>
                <c:pt idx="191">
                  <c:v>-4.1460824883255727</c:v>
                </c:pt>
                <c:pt idx="192">
                  <c:v>-3.9191835884530777</c:v>
                </c:pt>
                <c:pt idx="193">
                  <c:v>-3.6755951898978201</c:v>
                </c:pt>
                <c:pt idx="194">
                  <c:v>-3.4117444218463899</c:v>
                </c:pt>
                <c:pt idx="195">
                  <c:v>-3.1224989991991992</c:v>
                </c:pt>
                <c:pt idx="196">
                  <c:v>-2.7999999999999954</c:v>
                </c:pt>
                <c:pt idx="197">
                  <c:v>-2.4310491562286312</c:v>
                </c:pt>
                <c:pt idx="198">
                  <c:v>-1.9899748742132348</c:v>
                </c:pt>
                <c:pt idx="199">
                  <c:v>-1.4106735979665714</c:v>
                </c:pt>
                <c:pt idx="200">
                  <c:v>0</c:v>
                </c:pt>
                <c:pt idx="201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v>9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parallel!$J$7:$J$10</c:f>
              <c:numCache>
                <c:formatCode>General</c:formatCode>
                <c:ptCount val="4"/>
                <c:pt idx="0">
                  <c:v>-30</c:v>
                </c:pt>
                <c:pt idx="1">
                  <c:v>-4.358898943540674</c:v>
                </c:pt>
                <c:pt idx="2">
                  <c:v>9.8604917041913893</c:v>
                </c:pt>
                <c:pt idx="3">
                  <c:v>18.1573028111155</c:v>
                </c:pt>
              </c:numCache>
            </c:numRef>
          </c:xVal>
          <c:yVal>
            <c:numRef>
              <c:f>parallel!$K$7:$K$10</c:f>
              <c:numCache>
                <c:formatCode>General</c:formatCode>
                <c:ptCount val="4"/>
                <c:pt idx="0">
                  <c:v>9</c:v>
                </c:pt>
                <c:pt idx="1">
                  <c:v>9</c:v>
                </c:pt>
                <c:pt idx="2">
                  <c:v>1.6645429857990464</c:v>
                </c:pt>
                <c:pt idx="3">
                  <c:v>-10</c:v>
                </c:pt>
              </c:numCache>
            </c:numRef>
          </c:yVal>
          <c:smooth val="0"/>
        </c:ser>
        <c:ser>
          <c:idx val="3"/>
          <c:order val="3"/>
          <c:tx>
            <c:v>8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dPt>
            <c:idx val="1"/>
            <c:bubble3D val="0"/>
            <c:spPr>
              <a:ln cap="flat">
                <a:solidFill>
                  <a:srgbClr val="FF0000"/>
                </a:solidFill>
              </a:ln>
            </c:spPr>
          </c:dPt>
          <c:dPt>
            <c:idx val="2"/>
            <c:bubble3D val="0"/>
            <c:spPr>
              <a:ln cap="sq">
                <a:solidFill>
                  <a:srgbClr val="FF0000"/>
                </a:solidFill>
              </a:ln>
            </c:spPr>
          </c:dPt>
          <c:xVal>
            <c:numRef>
              <c:f>parallel!$L$7:$L$10</c:f>
              <c:numCache>
                <c:formatCode>General</c:formatCode>
                <c:ptCount val="4"/>
                <c:pt idx="0">
                  <c:v>-30</c:v>
                </c:pt>
                <c:pt idx="1">
                  <c:v>-6</c:v>
                </c:pt>
                <c:pt idx="2">
                  <c:v>9.8050574452335049</c:v>
                </c:pt>
                <c:pt idx="3">
                  <c:v>23.187873923086695</c:v>
                </c:pt>
              </c:numCache>
            </c:numRef>
          </c:xVal>
          <c:yVal>
            <c:numRef>
              <c:f>parallel!$M$7:$M$10</c:f>
              <c:numCache>
                <c:formatCode>General</c:formatCode>
                <c:ptCount val="4"/>
                <c:pt idx="0">
                  <c:v>8</c:v>
                </c:pt>
                <c:pt idx="1">
                  <c:v>8</c:v>
                </c:pt>
                <c:pt idx="2">
                  <c:v>1.9649041950362398</c:v>
                </c:pt>
                <c:pt idx="3">
                  <c:v>-10</c:v>
                </c:pt>
              </c:numCache>
            </c:numRef>
          </c:yVal>
          <c:smooth val="0"/>
        </c:ser>
        <c:ser>
          <c:idx val="4"/>
          <c:order val="4"/>
          <c:tx>
            <c:v>7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parallel!$N$7:$N$10</c:f>
              <c:numCache>
                <c:formatCode>General</c:formatCode>
                <c:ptCount val="4"/>
                <c:pt idx="0">
                  <c:v>-30</c:v>
                </c:pt>
                <c:pt idx="1">
                  <c:v>-7.1414284285428504</c:v>
                </c:pt>
                <c:pt idx="2">
                  <c:v>9.8092370144189278</c:v>
                </c:pt>
                <c:pt idx="3">
                  <c:v>28.049156329102004</c:v>
                </c:pt>
              </c:numCache>
            </c:numRef>
          </c:xVal>
          <c:yVal>
            <c:numRef>
              <c:f>parallel!$O$7:$O$10</c:f>
              <c:numCache>
                <c:formatCode>General</c:formatCode>
                <c:ptCount val="4"/>
                <c:pt idx="0">
                  <c:v>7</c:v>
                </c:pt>
                <c:pt idx="1">
                  <c:v>7</c:v>
                </c:pt>
                <c:pt idx="2">
                  <c:v>1.9439313760916654</c:v>
                </c:pt>
                <c:pt idx="3">
                  <c:v>-10</c:v>
                </c:pt>
              </c:numCache>
            </c:numRef>
          </c:yVal>
          <c:smooth val="0"/>
        </c:ser>
        <c:ser>
          <c:idx val="5"/>
          <c:order val="5"/>
          <c:tx>
            <c:v>6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parallel!$P$7:$P$10</c:f>
              <c:numCache>
                <c:formatCode>General</c:formatCode>
                <c:ptCount val="4"/>
                <c:pt idx="0">
                  <c:v>-30</c:v>
                </c:pt>
                <c:pt idx="1">
                  <c:v>-8</c:v>
                </c:pt>
                <c:pt idx="2">
                  <c:v>9.8392726671576067</c:v>
                </c:pt>
                <c:pt idx="3">
                  <c:v>33.391767455510625</c:v>
                </c:pt>
              </c:numCache>
            </c:numRef>
          </c:xVal>
          <c:yVal>
            <c:numRef>
              <c:f>parallel!$Q$7:$Q$10</c:f>
              <c:numCache>
                <c:formatCode>General</c:formatCode>
                <c:ptCount val="4"/>
                <c:pt idx="0">
                  <c:v>6</c:v>
                </c:pt>
                <c:pt idx="1">
                  <c:v>6</c:v>
                </c:pt>
                <c:pt idx="2">
                  <c:v>1.7856968895434742</c:v>
                </c:pt>
                <c:pt idx="3">
                  <c:v>-10</c:v>
                </c:pt>
              </c:numCache>
            </c:numRef>
          </c:yVal>
          <c:smooth val="0"/>
        </c:ser>
        <c:ser>
          <c:idx val="6"/>
          <c:order val="6"/>
          <c:tx>
            <c:v>5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parallel!$R$7:$R$10</c:f>
              <c:numCache>
                <c:formatCode>General</c:formatCode>
                <c:ptCount val="4"/>
                <c:pt idx="0">
                  <c:v>-30</c:v>
                </c:pt>
                <c:pt idx="1">
                  <c:v>-8.6602540378443873</c:v>
                </c:pt>
                <c:pt idx="2">
                  <c:v>9.8784499458191792</c:v>
                </c:pt>
                <c:pt idx="3">
                  <c:v>39.88860204531619</c:v>
                </c:pt>
              </c:numCache>
            </c:numRef>
          </c:xVal>
          <c:yVal>
            <c:numRef>
              <c:f>parallel!$S$7:$S$10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1.5544216506292841</c:v>
                </c:pt>
                <c:pt idx="3">
                  <c:v>-10</c:v>
                </c:pt>
              </c:numCache>
            </c:numRef>
          </c:yVal>
          <c:smooth val="0"/>
        </c:ser>
        <c:ser>
          <c:idx val="7"/>
          <c:order val="7"/>
          <c:tx>
            <c:v>4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parallel!$T$7:$T$10</c:f>
              <c:numCache>
                <c:formatCode>General</c:formatCode>
                <c:ptCount val="4"/>
                <c:pt idx="0">
                  <c:v>-30</c:v>
                </c:pt>
                <c:pt idx="1">
                  <c:v>-9.1651513899116797</c:v>
                </c:pt>
                <c:pt idx="2">
                  <c:v>9.9177460074959338</c:v>
                </c:pt>
                <c:pt idx="3">
                  <c:v>48.682178796203246</c:v>
                </c:pt>
              </c:numCache>
            </c:numRef>
          </c:xVal>
          <c:yVal>
            <c:numRef>
              <c:f>parallel!$U$7:$U$10</c:f>
              <c:numCache>
                <c:formatCode>General</c:formatCode>
                <c:ptCount val="4"/>
                <c:pt idx="0">
                  <c:v>4</c:v>
                </c:pt>
                <c:pt idx="1">
                  <c:v>4</c:v>
                </c:pt>
                <c:pt idx="2">
                  <c:v>1.2799664569036477</c:v>
                </c:pt>
                <c:pt idx="3">
                  <c:v>-10</c:v>
                </c:pt>
              </c:numCache>
            </c:numRef>
          </c:yVal>
          <c:smooth val="0"/>
        </c:ser>
        <c:ser>
          <c:idx val="8"/>
          <c:order val="8"/>
          <c:tx>
            <c:v>3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parallel!$V$7:$V$10</c:f>
              <c:numCache>
                <c:formatCode>General</c:formatCode>
                <c:ptCount val="4"/>
                <c:pt idx="0">
                  <c:v>-30</c:v>
                </c:pt>
                <c:pt idx="1">
                  <c:v>-9.5393920141694561</c:v>
                </c:pt>
                <c:pt idx="2">
                  <c:v>9.9519957295718253</c:v>
                </c:pt>
                <c:pt idx="3">
                  <c:v>62.315357773874318</c:v>
                </c:pt>
              </c:numCache>
            </c:numRef>
          </c:xVal>
          <c:yVal>
            <c:numRef>
              <c:f>parallel!$W$7:$W$10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0.97866286257533519</c:v>
                </c:pt>
                <c:pt idx="3">
                  <c:v>-10</c:v>
                </c:pt>
              </c:numCache>
            </c:numRef>
          </c:yVal>
          <c:smooth val="0"/>
        </c:ser>
        <c:ser>
          <c:idx val="9"/>
          <c:order val="9"/>
          <c:tx>
            <c:v>2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parallel!$X$7:$X$10</c:f>
              <c:numCache>
                <c:formatCode>General</c:formatCode>
                <c:ptCount val="4"/>
                <c:pt idx="0">
                  <c:v>-30</c:v>
                </c:pt>
                <c:pt idx="1">
                  <c:v>-9.7979589711327115</c:v>
                </c:pt>
                <c:pt idx="2">
                  <c:v>9.9781584298415407</c:v>
                </c:pt>
                <c:pt idx="3">
                  <c:v>88.316624987200655</c:v>
                </c:pt>
              </c:numCache>
            </c:numRef>
          </c:xVal>
          <c:yVal>
            <c:numRef>
              <c:f>parallel!$Y$7:$Y$10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0.66057122930248857</c:v>
                </c:pt>
                <c:pt idx="3">
                  <c:v>-10</c:v>
                </c:pt>
              </c:numCache>
            </c:numRef>
          </c:yVal>
          <c:smooth val="0"/>
        </c:ser>
        <c:ser>
          <c:idx val="10"/>
          <c:order val="10"/>
          <c:tx>
            <c:v>1</c:v>
          </c:tx>
          <c:marker>
            <c:symbol val="none"/>
          </c:marker>
          <c:xVal>
            <c:numRef>
              <c:f>parallel!$Z$7:$Z$10</c:f>
              <c:numCache>
                <c:formatCode>General</c:formatCode>
                <c:ptCount val="4"/>
                <c:pt idx="0">
                  <c:v>-30</c:v>
                </c:pt>
                <c:pt idx="1">
                  <c:v>-9.9498743710661994</c:v>
                </c:pt>
                <c:pt idx="2">
                  <c:v>9.9944677504086847</c:v>
                </c:pt>
                <c:pt idx="3">
                  <c:v>164.20633938091152</c:v>
                </c:pt>
              </c:numCache>
            </c:numRef>
          </c:xVal>
          <c:yVal>
            <c:numRef>
              <c:f>parallel!$AA$7:$AA$10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0.33258741112791357</c:v>
                </c:pt>
                <c:pt idx="3">
                  <c:v>-10</c:v>
                </c:pt>
              </c:numCache>
            </c:numRef>
          </c:yVal>
          <c:smooth val="1"/>
        </c:ser>
        <c:ser>
          <c:idx val="12"/>
          <c:order val="11"/>
          <c:tx>
            <c:v>1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2"/>
            <c:bubble3D val="0"/>
          </c:dPt>
          <c:xVal>
            <c:numRef>
              <c:f>parallel!$Z$7:$Z$10</c:f>
              <c:numCache>
                <c:formatCode>General</c:formatCode>
                <c:ptCount val="4"/>
                <c:pt idx="0">
                  <c:v>-30</c:v>
                </c:pt>
                <c:pt idx="1">
                  <c:v>-9.9498743710661994</c:v>
                </c:pt>
                <c:pt idx="2">
                  <c:v>9.9944677504086847</c:v>
                </c:pt>
                <c:pt idx="3">
                  <c:v>164.20633938091152</c:v>
                </c:pt>
              </c:numCache>
            </c:numRef>
          </c:xVal>
          <c:yVal>
            <c:numRef>
              <c:f>parallel!$AA$7:$AA$10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0.33258741112791357</c:v>
                </c:pt>
                <c:pt idx="3">
                  <c:v>-10</c:v>
                </c:pt>
              </c:numCache>
            </c:numRef>
          </c:yVal>
          <c:smooth val="0"/>
        </c:ser>
        <c:ser>
          <c:idx val="11"/>
          <c:order val="12"/>
          <c:tx>
            <c:v>-9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parallel!$J$12:$J$15</c:f>
              <c:numCache>
                <c:formatCode>General</c:formatCode>
                <c:ptCount val="4"/>
                <c:pt idx="0">
                  <c:v>-30</c:v>
                </c:pt>
                <c:pt idx="1">
                  <c:v>-4.358898943540674</c:v>
                </c:pt>
                <c:pt idx="2">
                  <c:v>9.8604917041913893</c:v>
                </c:pt>
                <c:pt idx="3">
                  <c:v>18.1573028111155</c:v>
                </c:pt>
              </c:numCache>
            </c:numRef>
          </c:xVal>
          <c:yVal>
            <c:numRef>
              <c:f>parallel!$K$12:$K$15</c:f>
              <c:numCache>
                <c:formatCode>General</c:formatCode>
                <c:ptCount val="4"/>
                <c:pt idx="0">
                  <c:v>-9</c:v>
                </c:pt>
                <c:pt idx="1">
                  <c:v>-9</c:v>
                </c:pt>
                <c:pt idx="2">
                  <c:v>-1.6645429857990464</c:v>
                </c:pt>
                <c:pt idx="3">
                  <c:v>10</c:v>
                </c:pt>
              </c:numCache>
            </c:numRef>
          </c:yVal>
          <c:smooth val="0"/>
        </c:ser>
        <c:ser>
          <c:idx val="13"/>
          <c:order val="13"/>
          <c:tx>
            <c:v>-8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parallel!$L$12:$L$15</c:f>
              <c:numCache>
                <c:formatCode>General</c:formatCode>
                <c:ptCount val="4"/>
                <c:pt idx="0">
                  <c:v>-30</c:v>
                </c:pt>
                <c:pt idx="1">
                  <c:v>-6</c:v>
                </c:pt>
                <c:pt idx="2">
                  <c:v>9.8050574452335049</c:v>
                </c:pt>
                <c:pt idx="3">
                  <c:v>23.187873923086695</c:v>
                </c:pt>
              </c:numCache>
            </c:numRef>
          </c:xVal>
          <c:yVal>
            <c:numRef>
              <c:f>parallel!$M$12:$M$15</c:f>
              <c:numCache>
                <c:formatCode>General</c:formatCode>
                <c:ptCount val="4"/>
                <c:pt idx="0">
                  <c:v>-8</c:v>
                </c:pt>
                <c:pt idx="1">
                  <c:v>-8</c:v>
                </c:pt>
                <c:pt idx="2">
                  <c:v>-1.9649041950362398</c:v>
                </c:pt>
                <c:pt idx="3">
                  <c:v>10</c:v>
                </c:pt>
              </c:numCache>
            </c:numRef>
          </c:yVal>
          <c:smooth val="0"/>
        </c:ser>
        <c:ser>
          <c:idx val="14"/>
          <c:order val="14"/>
          <c:tx>
            <c:v>-7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parallel!$N$12:$N$15</c:f>
              <c:numCache>
                <c:formatCode>General</c:formatCode>
                <c:ptCount val="4"/>
                <c:pt idx="0">
                  <c:v>-30</c:v>
                </c:pt>
                <c:pt idx="1">
                  <c:v>-7.1414284285428504</c:v>
                </c:pt>
                <c:pt idx="2">
                  <c:v>9.8092370144189278</c:v>
                </c:pt>
                <c:pt idx="3">
                  <c:v>28.049156329102004</c:v>
                </c:pt>
              </c:numCache>
            </c:numRef>
          </c:xVal>
          <c:yVal>
            <c:numRef>
              <c:f>parallel!$O$12:$O$15</c:f>
              <c:numCache>
                <c:formatCode>General</c:formatCode>
                <c:ptCount val="4"/>
                <c:pt idx="0">
                  <c:v>-7</c:v>
                </c:pt>
                <c:pt idx="1">
                  <c:v>-7</c:v>
                </c:pt>
                <c:pt idx="2">
                  <c:v>-1.9439313760916654</c:v>
                </c:pt>
                <c:pt idx="3">
                  <c:v>10</c:v>
                </c:pt>
              </c:numCache>
            </c:numRef>
          </c:yVal>
          <c:smooth val="0"/>
        </c:ser>
        <c:ser>
          <c:idx val="15"/>
          <c:order val="15"/>
          <c:tx>
            <c:v>-6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parallel!$P$12:$P$15</c:f>
              <c:numCache>
                <c:formatCode>General</c:formatCode>
                <c:ptCount val="4"/>
                <c:pt idx="0">
                  <c:v>-30</c:v>
                </c:pt>
                <c:pt idx="1">
                  <c:v>-8</c:v>
                </c:pt>
                <c:pt idx="2">
                  <c:v>9.8392726671576067</c:v>
                </c:pt>
                <c:pt idx="3">
                  <c:v>33.391767455510625</c:v>
                </c:pt>
              </c:numCache>
            </c:numRef>
          </c:xVal>
          <c:yVal>
            <c:numRef>
              <c:f>parallel!$Q$12:$Q$15</c:f>
              <c:numCache>
                <c:formatCode>General</c:formatCode>
                <c:ptCount val="4"/>
                <c:pt idx="0">
                  <c:v>-6</c:v>
                </c:pt>
                <c:pt idx="1">
                  <c:v>-6</c:v>
                </c:pt>
                <c:pt idx="2">
                  <c:v>-1.7856968895434742</c:v>
                </c:pt>
                <c:pt idx="3">
                  <c:v>10</c:v>
                </c:pt>
              </c:numCache>
            </c:numRef>
          </c:yVal>
          <c:smooth val="0"/>
        </c:ser>
        <c:ser>
          <c:idx val="16"/>
          <c:order val="16"/>
          <c:tx>
            <c:v>-5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parallel!$R$12:$R$15</c:f>
              <c:numCache>
                <c:formatCode>General</c:formatCode>
                <c:ptCount val="4"/>
                <c:pt idx="0">
                  <c:v>-30</c:v>
                </c:pt>
                <c:pt idx="1">
                  <c:v>-8.6602540378443873</c:v>
                </c:pt>
                <c:pt idx="2">
                  <c:v>9.8784499458191792</c:v>
                </c:pt>
                <c:pt idx="3">
                  <c:v>39.88860204531619</c:v>
                </c:pt>
              </c:numCache>
            </c:numRef>
          </c:xVal>
          <c:yVal>
            <c:numRef>
              <c:f>parallel!$S$12:$S$15</c:f>
              <c:numCache>
                <c:formatCode>General</c:formatCode>
                <c:ptCount val="4"/>
                <c:pt idx="0">
                  <c:v>-5</c:v>
                </c:pt>
                <c:pt idx="1">
                  <c:v>-5</c:v>
                </c:pt>
                <c:pt idx="2">
                  <c:v>-1.5544216506292841</c:v>
                </c:pt>
                <c:pt idx="3">
                  <c:v>10</c:v>
                </c:pt>
              </c:numCache>
            </c:numRef>
          </c:yVal>
          <c:smooth val="0"/>
        </c:ser>
        <c:ser>
          <c:idx val="17"/>
          <c:order val="17"/>
          <c:tx>
            <c:v>-4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parallel!$T$12:$T$15</c:f>
              <c:numCache>
                <c:formatCode>General</c:formatCode>
                <c:ptCount val="4"/>
                <c:pt idx="0">
                  <c:v>-30</c:v>
                </c:pt>
                <c:pt idx="1">
                  <c:v>-9.1651513899116797</c:v>
                </c:pt>
                <c:pt idx="2">
                  <c:v>9.9177460074959338</c:v>
                </c:pt>
                <c:pt idx="3">
                  <c:v>48.682178796203246</c:v>
                </c:pt>
              </c:numCache>
            </c:numRef>
          </c:xVal>
          <c:yVal>
            <c:numRef>
              <c:f>parallel!$U$12:$U$15</c:f>
              <c:numCache>
                <c:formatCode>General</c:formatCode>
                <c:ptCount val="4"/>
                <c:pt idx="0">
                  <c:v>-4</c:v>
                </c:pt>
                <c:pt idx="1">
                  <c:v>-4</c:v>
                </c:pt>
                <c:pt idx="2">
                  <c:v>-1.2799664569036477</c:v>
                </c:pt>
                <c:pt idx="3">
                  <c:v>10</c:v>
                </c:pt>
              </c:numCache>
            </c:numRef>
          </c:yVal>
          <c:smooth val="0"/>
        </c:ser>
        <c:ser>
          <c:idx val="18"/>
          <c:order val="18"/>
          <c:tx>
            <c:v>-3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parallel!$V$12:$V$15</c:f>
              <c:numCache>
                <c:formatCode>General</c:formatCode>
                <c:ptCount val="4"/>
                <c:pt idx="0">
                  <c:v>-30</c:v>
                </c:pt>
                <c:pt idx="1">
                  <c:v>-9.5393920141694561</c:v>
                </c:pt>
                <c:pt idx="2">
                  <c:v>9.9519957295718253</c:v>
                </c:pt>
                <c:pt idx="3">
                  <c:v>62.315357773874318</c:v>
                </c:pt>
              </c:numCache>
            </c:numRef>
          </c:xVal>
          <c:yVal>
            <c:numRef>
              <c:f>parallel!$W$12:$W$15</c:f>
              <c:numCache>
                <c:formatCode>General</c:formatCode>
                <c:ptCount val="4"/>
                <c:pt idx="0">
                  <c:v>-3</c:v>
                </c:pt>
                <c:pt idx="1">
                  <c:v>-3</c:v>
                </c:pt>
                <c:pt idx="2">
                  <c:v>-0.97866286257533519</c:v>
                </c:pt>
                <c:pt idx="3">
                  <c:v>10</c:v>
                </c:pt>
              </c:numCache>
            </c:numRef>
          </c:yVal>
          <c:smooth val="0"/>
        </c:ser>
        <c:ser>
          <c:idx val="19"/>
          <c:order val="19"/>
          <c:tx>
            <c:v>-2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parallel!$X$12:$X$15</c:f>
              <c:numCache>
                <c:formatCode>General</c:formatCode>
                <c:ptCount val="4"/>
                <c:pt idx="0">
                  <c:v>-30</c:v>
                </c:pt>
                <c:pt idx="1">
                  <c:v>-9.7979589711327115</c:v>
                </c:pt>
                <c:pt idx="2">
                  <c:v>9.9781584298415407</c:v>
                </c:pt>
                <c:pt idx="3">
                  <c:v>88.316624987200655</c:v>
                </c:pt>
              </c:numCache>
            </c:numRef>
          </c:xVal>
          <c:yVal>
            <c:numRef>
              <c:f>parallel!$Y$12:$Y$15</c:f>
              <c:numCache>
                <c:formatCode>General</c:formatCode>
                <c:ptCount val="4"/>
                <c:pt idx="0">
                  <c:v>-2</c:v>
                </c:pt>
                <c:pt idx="1">
                  <c:v>-2</c:v>
                </c:pt>
                <c:pt idx="2">
                  <c:v>-0.66057122930248857</c:v>
                </c:pt>
                <c:pt idx="3">
                  <c:v>10</c:v>
                </c:pt>
              </c:numCache>
            </c:numRef>
          </c:yVal>
          <c:smooth val="0"/>
        </c:ser>
        <c:ser>
          <c:idx val="20"/>
          <c:order val="20"/>
          <c:tx>
            <c:v>-1</c:v>
          </c:tx>
          <c:marker>
            <c:symbol val="none"/>
          </c:marker>
          <c:dPt>
            <c:idx val="1"/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2"/>
            <c:bubble3D val="0"/>
            <c:spPr>
              <a:ln>
                <a:solidFill>
                  <a:srgbClr val="FF0000"/>
                </a:solidFill>
              </a:ln>
            </c:spPr>
          </c:dPt>
          <c:xVal>
            <c:numRef>
              <c:f>parallel!$Z$12:$Z$15</c:f>
              <c:numCache>
                <c:formatCode>General</c:formatCode>
                <c:ptCount val="4"/>
                <c:pt idx="0">
                  <c:v>-30</c:v>
                </c:pt>
                <c:pt idx="1">
                  <c:v>-9.9498743710661994</c:v>
                </c:pt>
                <c:pt idx="2">
                  <c:v>9.9944677504086847</c:v>
                </c:pt>
                <c:pt idx="3">
                  <c:v>164.20633938091152</c:v>
                </c:pt>
              </c:numCache>
            </c:numRef>
          </c:xVal>
          <c:yVal>
            <c:numRef>
              <c:f>parallel!$AA$12:$AA$15</c:f>
              <c:numCache>
                <c:formatCode>General</c:formatCode>
                <c:ptCount val="4"/>
                <c:pt idx="0">
                  <c:v>-1</c:v>
                </c:pt>
                <c:pt idx="1">
                  <c:v>-1</c:v>
                </c:pt>
                <c:pt idx="2">
                  <c:v>-0.33258741112791357</c:v>
                </c:pt>
                <c:pt idx="3">
                  <c:v>10</c:v>
                </c:pt>
              </c:numCache>
            </c:numRef>
          </c:yVal>
          <c:smooth val="0"/>
        </c:ser>
        <c:ser>
          <c:idx val="26"/>
          <c:order val="21"/>
          <c:tx>
            <c:v>shm -4</c:v>
          </c:tx>
          <c:marker>
            <c:symbol val="star"/>
            <c:size val="7"/>
            <c:spPr>
              <a:solidFill>
                <a:schemeClr val="accent4">
                  <a:lumMod val="50000"/>
                </a:schemeClr>
              </a:solidFill>
            </c:spPr>
          </c:marker>
          <c:xVal>
            <c:numRef>
              <c:f>parallel!$N$29</c:f>
              <c:numCache>
                <c:formatCode>General</c:formatCode>
                <c:ptCount val="1"/>
                <c:pt idx="0">
                  <c:v>1.0623469025914307</c:v>
                </c:pt>
              </c:numCache>
            </c:numRef>
          </c:xVal>
          <c:yVal>
            <c:numRef>
              <c:f>parallel!$O$29</c:f>
              <c:numCache>
                <c:formatCode>General</c:formatCode>
                <c:ptCount val="1"/>
                <c:pt idx="0">
                  <c:v>-4.5529662131014437</c:v>
                </c:pt>
              </c:numCache>
            </c:numRef>
          </c:yVal>
          <c:smooth val="1"/>
        </c:ser>
        <c:ser>
          <c:idx val="27"/>
          <c:order val="22"/>
          <c:tx>
            <c:v>metopo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parallel!$G$35:$G$52</c:f>
              <c:numCache>
                <c:formatCode>General</c:formatCode>
                <c:ptCount val="18"/>
                <c:pt idx="0">
                  <c:v>1.6007432883036676</c:v>
                </c:pt>
                <c:pt idx="1">
                  <c:v>1.6007432883036676</c:v>
                </c:pt>
                <c:pt idx="2">
                  <c:v>1.2868361926202523</c:v>
                </c:pt>
                <c:pt idx="3">
                  <c:v>1.2868361926202523</c:v>
                </c:pt>
                <c:pt idx="4">
                  <c:v>1.0623469025914307</c:v>
                </c:pt>
                <c:pt idx="5">
                  <c:v>1.0623469025914307</c:v>
                </c:pt>
                <c:pt idx="6">
                  <c:v>0.888670615562134</c:v>
                </c:pt>
                <c:pt idx="7">
                  <c:v>0.888670615562134</c:v>
                </c:pt>
                <c:pt idx="8">
                  <c:v>0.75206195957400013</c:v>
                </c:pt>
                <c:pt idx="9">
                  <c:v>0.75206195957400013</c:v>
                </c:pt>
                <c:pt idx="10">
                  <c:v>0.64578619952935767</c:v>
                </c:pt>
                <c:pt idx="11">
                  <c:v>0.64578619952935767</c:v>
                </c:pt>
                <c:pt idx="12">
                  <c:v>0.56600849499773709</c:v>
                </c:pt>
                <c:pt idx="13">
                  <c:v>0.56600849499773709</c:v>
                </c:pt>
                <c:pt idx="14">
                  <c:v>0.51039696674381219</c:v>
                </c:pt>
                <c:pt idx="15">
                  <c:v>0.51039696674381219</c:v>
                </c:pt>
                <c:pt idx="16">
                  <c:v>0.47753841524189866</c:v>
                </c:pt>
                <c:pt idx="17">
                  <c:v>0.47753841524189866</c:v>
                </c:pt>
              </c:numCache>
            </c:numRef>
          </c:xVal>
          <c:yVal>
            <c:numRef>
              <c:f>parallel!$H$35:$H$52</c:f>
              <c:numCache>
                <c:formatCode>General</c:formatCode>
                <c:ptCount val="18"/>
                <c:pt idx="0">
                  <c:v>5.9255574662277493</c:v>
                </c:pt>
                <c:pt idx="1">
                  <c:v>-5.9255574662277493</c:v>
                </c:pt>
                <c:pt idx="2">
                  <c:v>5.217551743172999</c:v>
                </c:pt>
                <c:pt idx="3">
                  <c:v>-5.217551743172999</c:v>
                </c:pt>
                <c:pt idx="4">
                  <c:v>4.5529662131014437</c:v>
                </c:pt>
                <c:pt idx="5">
                  <c:v>-4.5529662131014437</c:v>
                </c:pt>
                <c:pt idx="6">
                  <c:v>3.9001637049950655</c:v>
                </c:pt>
                <c:pt idx="7">
                  <c:v>-3.9001637049950655</c:v>
                </c:pt>
                <c:pt idx="8">
                  <c:v>3.2506397293619478</c:v>
                </c:pt>
                <c:pt idx="9">
                  <c:v>-3.2506397293619478</c:v>
                </c:pt>
                <c:pt idx="10">
                  <c:v>2.6015708842971739</c:v>
                </c:pt>
                <c:pt idx="11">
                  <c:v>-2.6015708842971739</c:v>
                </c:pt>
                <c:pt idx="12">
                  <c:v>1.9520283724134149</c:v>
                </c:pt>
                <c:pt idx="13">
                  <c:v>-1.9520283724134149</c:v>
                </c:pt>
                <c:pt idx="14">
                  <c:v>1.3018190455775642</c:v>
                </c:pt>
                <c:pt idx="15">
                  <c:v>1.3018190455775642</c:v>
                </c:pt>
                <c:pt idx="16">
                  <c:v>0.65105960775440519</c:v>
                </c:pt>
                <c:pt idx="17">
                  <c:v>-0.65105960775440519</c:v>
                </c:pt>
              </c:numCache>
            </c:numRef>
          </c:yVal>
          <c:smooth val="1"/>
        </c:ser>
        <c:ser>
          <c:idx val="21"/>
          <c:order val="23"/>
          <c:tx>
            <c:v>farisi1</c:v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parallel!$AB$7:$AB$10</c:f>
              <c:numCache>
                <c:formatCode>General</c:formatCode>
                <c:ptCount val="4"/>
                <c:pt idx="0">
                  <c:v>-30</c:v>
                </c:pt>
                <c:pt idx="1">
                  <c:v>-6.4549722436790278</c:v>
                </c:pt>
                <c:pt idx="2">
                  <c:v>9.8019948885496362</c:v>
                </c:pt>
                <c:pt idx="3">
                  <c:v>24.930016552720218</c:v>
                </c:pt>
              </c:numCache>
            </c:numRef>
          </c:xVal>
          <c:yVal>
            <c:numRef>
              <c:f>parallel!$AC$7:$AC$10</c:f>
              <c:numCache>
                <c:formatCode>General</c:formatCode>
                <c:ptCount val="4"/>
                <c:pt idx="0">
                  <c:v>7.6376261582597333</c:v>
                </c:pt>
                <c:pt idx="1">
                  <c:v>7.6376261582597333</c:v>
                </c:pt>
                <c:pt idx="2">
                  <c:v>1.9801253002895602</c:v>
                </c:pt>
                <c:pt idx="3">
                  <c:v>-10</c:v>
                </c:pt>
              </c:numCache>
            </c:numRef>
          </c:yVal>
          <c:smooth val="0"/>
        </c:ser>
        <c:ser>
          <c:idx val="22"/>
          <c:order val="24"/>
          <c:tx>
            <c:v>farisi2</c:v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parallel!$AB$12:$AB$15</c:f>
              <c:numCache>
                <c:formatCode>General</c:formatCode>
                <c:ptCount val="4"/>
                <c:pt idx="0">
                  <c:v>-30</c:v>
                </c:pt>
                <c:pt idx="1">
                  <c:v>-6.4549722436790278</c:v>
                </c:pt>
                <c:pt idx="2">
                  <c:v>9.8019948885496362</c:v>
                </c:pt>
                <c:pt idx="3">
                  <c:v>24.930016552720218</c:v>
                </c:pt>
              </c:numCache>
            </c:numRef>
          </c:xVal>
          <c:yVal>
            <c:numRef>
              <c:f>parallel!$AC$12:$AC$15</c:f>
              <c:numCache>
                <c:formatCode>General</c:formatCode>
                <c:ptCount val="4"/>
                <c:pt idx="0">
                  <c:v>-7.6376261582597333</c:v>
                </c:pt>
                <c:pt idx="1">
                  <c:v>-7.6376261582597333</c:v>
                </c:pt>
                <c:pt idx="2">
                  <c:v>-1.9801253002895602</c:v>
                </c:pt>
                <c:pt idx="3">
                  <c:v>10</c:v>
                </c:pt>
              </c:numCache>
            </c:numRef>
          </c:yVal>
          <c:smooth val="0"/>
        </c:ser>
        <c:ser>
          <c:idx val="23"/>
          <c:order val="25"/>
          <c:tx>
            <c:v>through zero1</c:v>
          </c:tx>
          <c:spPr>
            <a:ln>
              <a:solidFill>
                <a:schemeClr val="accent6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parallel!$AH$11:$AH$14</c:f>
              <c:numCache>
                <c:formatCode>General</c:formatCode>
                <c:ptCount val="4"/>
                <c:pt idx="0">
                  <c:v>-30</c:v>
                </c:pt>
                <c:pt idx="1">
                  <c:v>0</c:v>
                </c:pt>
                <c:pt idx="2">
                  <c:v>10</c:v>
                </c:pt>
                <c:pt idx="3">
                  <c:v>11.259881576697426</c:v>
                </c:pt>
              </c:numCache>
            </c:numRef>
          </c:xVal>
          <c:yVal>
            <c:numRef>
              <c:f>parallel!$AI$11:$AI$14</c:f>
              <c:numCache>
                <c:formatCode>General</c:formatCode>
                <c:ptCount val="4"/>
                <c:pt idx="0">
                  <c:v>9.9215674164922145</c:v>
                </c:pt>
                <c:pt idx="1">
                  <c:v>10</c:v>
                </c:pt>
                <c:pt idx="2">
                  <c:v>0</c:v>
                </c:pt>
                <c:pt idx="3">
                  <c:v>-10</c:v>
                </c:pt>
              </c:numCache>
            </c:numRef>
          </c:yVal>
          <c:smooth val="0"/>
        </c:ser>
        <c:ser>
          <c:idx val="24"/>
          <c:order val="26"/>
          <c:tx>
            <c:v>through zero2</c:v>
          </c:tx>
          <c:spPr>
            <a:ln>
              <a:solidFill>
                <a:schemeClr val="accent6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parallel!$AH$17:$AH$20</c:f>
              <c:numCache>
                <c:formatCode>General</c:formatCode>
                <c:ptCount val="4"/>
                <c:pt idx="0">
                  <c:v>-30</c:v>
                </c:pt>
                <c:pt idx="1">
                  <c:v>0</c:v>
                </c:pt>
                <c:pt idx="2">
                  <c:v>10</c:v>
                </c:pt>
                <c:pt idx="3">
                  <c:v>11.259881576697426</c:v>
                </c:pt>
              </c:numCache>
            </c:numRef>
          </c:xVal>
          <c:yVal>
            <c:numRef>
              <c:f>parallel!$AI$17:$AI$20</c:f>
              <c:numCache>
                <c:formatCode>General</c:formatCode>
                <c:ptCount val="4"/>
                <c:pt idx="0">
                  <c:v>-9.9215674164922145</c:v>
                </c:pt>
                <c:pt idx="1">
                  <c:v>-10</c:v>
                </c:pt>
                <c:pt idx="2">
                  <c:v>0</c:v>
                </c:pt>
                <c:pt idx="3">
                  <c:v>10</c:v>
                </c:pt>
              </c:numCache>
            </c:numRef>
          </c:yVal>
          <c:smooth val="0"/>
        </c:ser>
        <c:ser>
          <c:idx val="25"/>
          <c:order val="27"/>
          <c:tx>
            <c:v>90 degrees</c:v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dPt>
            <c:idx val="3"/>
            <c:bubble3D val="0"/>
            <c:spPr>
              <a:ln w="19050">
                <a:solidFill>
                  <a:srgbClr val="92D050"/>
                </a:solidFill>
                <a:prstDash val="dash"/>
              </a:ln>
            </c:spPr>
          </c:dPt>
          <c:xVal>
            <c:numRef>
              <c:f>parallel!$AH$4:$AH$7</c:f>
              <c:numCache>
                <c:formatCode>General</c:formatCode>
                <c:ptCount val="4"/>
                <c:pt idx="0">
                  <c:v>-30</c:v>
                </c:pt>
                <c:pt idx="1">
                  <c:v>0</c:v>
                </c:pt>
                <c:pt idx="2">
                  <c:v>9.9380798999990656</c:v>
                </c:pt>
                <c:pt idx="3">
                  <c:v>7.8262379212492625</c:v>
                </c:pt>
              </c:numCache>
            </c:numRef>
          </c:xVal>
          <c:yVal>
            <c:numRef>
              <c:f>parallel!$AI$4:$AI$7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-1.1111111111111112</c:v>
                </c:pt>
                <c:pt idx="3">
                  <c:v>-20</c:v>
                </c:pt>
              </c:numCache>
            </c:numRef>
          </c:yVal>
          <c:smooth val="0"/>
        </c:ser>
        <c:ser>
          <c:idx val="28"/>
          <c:order val="28"/>
          <c:tx>
            <c:v>90 MION</c:v>
          </c:tx>
          <c:spPr>
            <a:ln w="22225">
              <a:solidFill>
                <a:srgbClr val="92D050"/>
              </a:solidFill>
            </a:ln>
          </c:spPr>
          <c:marker>
            <c:symbol val="none"/>
          </c:marker>
          <c:dPt>
            <c:idx val="3"/>
            <c:bubble3D val="0"/>
            <c:spPr>
              <a:ln w="22225">
                <a:solidFill>
                  <a:srgbClr val="92D050"/>
                </a:solidFill>
                <a:prstDash val="dash"/>
              </a:ln>
            </c:spPr>
          </c:dPt>
          <c:xVal>
            <c:numRef>
              <c:f>parallel!$AJ$4:$AJ$7</c:f>
              <c:numCache>
                <c:formatCode>General</c:formatCode>
                <c:ptCount val="4"/>
                <c:pt idx="0">
                  <c:v>-30</c:v>
                </c:pt>
                <c:pt idx="1">
                  <c:v>0</c:v>
                </c:pt>
                <c:pt idx="2">
                  <c:v>9.9380798999990656</c:v>
                </c:pt>
                <c:pt idx="3">
                  <c:v>7.8262379212492625</c:v>
                </c:pt>
              </c:numCache>
            </c:numRef>
          </c:xVal>
          <c:yVal>
            <c:numRef>
              <c:f>parallel!$AK$4:$AK$7</c:f>
              <c:numCache>
                <c:formatCode>General</c:formatCode>
                <c:ptCount val="4"/>
                <c:pt idx="0">
                  <c:v>-10</c:v>
                </c:pt>
                <c:pt idx="1">
                  <c:v>-10</c:v>
                </c:pt>
                <c:pt idx="2">
                  <c:v>1.1111111111111112</c:v>
                </c:pt>
                <c:pt idx="3">
                  <c:v>20</c:v>
                </c:pt>
              </c:numCache>
            </c:numRef>
          </c:yVal>
          <c:smooth val="0"/>
        </c:ser>
        <c:ser>
          <c:idx val="29"/>
          <c:order val="29"/>
          <c:tx>
            <c:v>METOPO02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(parallel!$J$30:$J$31,parallel!$L$30:$L$31,parallel!$N$30:$N$31,parallel!$P$30:$P$31,parallel!$R$30:$R$31,parallel!$T$30:$T$31,parallel!$V$30:$V$31,parallel!$X$30:$X$31,parallel!$Z$30:$Z$31)</c:f>
              <c:numCache>
                <c:formatCode>General</c:formatCode>
                <c:ptCount val="18"/>
                <c:pt idx="0">
                  <c:v>-1.3616297633071786</c:v>
                </c:pt>
                <c:pt idx="1">
                  <c:v>-1.3616297633071786</c:v>
                </c:pt>
                <c:pt idx="2">
                  <c:v>-1.8271963683285728</c:v>
                </c:pt>
                <c:pt idx="3">
                  <c:v>-1.8271963683285728</c:v>
                </c:pt>
                <c:pt idx="4">
                  <c:v>-2.1319143031555923</c:v>
                </c:pt>
                <c:pt idx="5">
                  <c:v>-2.1319143031555923</c:v>
                </c:pt>
                <c:pt idx="6">
                  <c:v>-2.3553697550809796</c:v>
                </c:pt>
                <c:pt idx="7">
                  <c:v>-2.3553697550809796</c:v>
                </c:pt>
                <c:pt idx="8">
                  <c:v>-2.5251488657406416</c:v>
                </c:pt>
                <c:pt idx="9">
                  <c:v>-2.5251488657406416</c:v>
                </c:pt>
                <c:pt idx="10">
                  <c:v>-2.6541928360354214</c:v>
                </c:pt>
                <c:pt idx="11">
                  <c:v>-2.6541928360354214</c:v>
                </c:pt>
                <c:pt idx="12">
                  <c:v>-2.749543890481708</c:v>
                </c:pt>
                <c:pt idx="13">
                  <c:v>-2.749543890481708</c:v>
                </c:pt>
                <c:pt idx="14">
                  <c:v>-2.8153170698842978</c:v>
                </c:pt>
                <c:pt idx="15">
                  <c:v>-2.8153170698842978</c:v>
                </c:pt>
                <c:pt idx="16">
                  <c:v>-2.8539301125778849</c:v>
                </c:pt>
                <c:pt idx="17">
                  <c:v>-2.8539301125778849</c:v>
                </c:pt>
              </c:numCache>
            </c:numRef>
          </c:xVal>
          <c:yVal>
            <c:numRef>
              <c:f>(parallel!$K$30:$K$31,parallel!$M$30:$M$31,parallel!$O$30:$O$31,parallel!$Q$30:$Q$31,parallel!$S$30:$S$31,parallel!$U$30:$U$31,parallel!$W$30:$W$31,parallel!$Y$30:$Y$31,parallel!$AA$30:$AA$31)</c:f>
              <c:numCache>
                <c:formatCode>General</c:formatCode>
                <c:ptCount val="18"/>
                <c:pt idx="0">
                  <c:v>7.4537776775196152</c:v>
                </c:pt>
                <c:pt idx="1">
                  <c:v>-7.4537776775196152</c:v>
                </c:pt>
                <c:pt idx="2">
                  <c:v>6.406632194808469</c:v>
                </c:pt>
                <c:pt idx="3">
                  <c:v>-6.406632194808469</c:v>
                </c:pt>
                <c:pt idx="4">
                  <c:v>5.5057549937714718</c:v>
                </c:pt>
                <c:pt idx="5">
                  <c:v>-5.5057549937714718</c:v>
                </c:pt>
                <c:pt idx="6">
                  <c:v>4.6665273163107344</c:v>
                </c:pt>
                <c:pt idx="7">
                  <c:v>-4.6665273163107344</c:v>
                </c:pt>
                <c:pt idx="8">
                  <c:v>3.8597376833493438</c:v>
                </c:pt>
                <c:pt idx="9">
                  <c:v>-3.8597376833493438</c:v>
                </c:pt>
                <c:pt idx="10">
                  <c:v>3.0719425202873323</c:v>
                </c:pt>
                <c:pt idx="11">
                  <c:v>-3.0719425202873323</c:v>
                </c:pt>
                <c:pt idx="12">
                  <c:v>2.2958648019153891</c:v>
                </c:pt>
                <c:pt idx="13">
                  <c:v>-2.2958648019153891</c:v>
                </c:pt>
                <c:pt idx="14">
                  <c:v>1.5270683689635995</c:v>
                </c:pt>
                <c:pt idx="15">
                  <c:v>-1.5270683689635995</c:v>
                </c:pt>
                <c:pt idx="16">
                  <c:v>0.76254305611061779</c:v>
                </c:pt>
                <c:pt idx="17">
                  <c:v>-0.76254305611061779</c:v>
                </c:pt>
              </c:numCache>
            </c:numRef>
          </c:yVal>
          <c:smooth val="1"/>
        </c:ser>
        <c:ser>
          <c:idx val="30"/>
          <c:order val="30"/>
          <c:tx>
            <c:v>metopo 3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(parallel!$J$32:$J$33,parallel!$L$32:$L$33,parallel!$N$32:$N$33,parallel!$P$32:$P$33,parallel!$R$32:$R$33,parallel!$T$32:$T$33,parallel!$V$32:$V$33,parallel!$X$32:$X$33,parallel!$Z$32:$Z$33)</c:f>
              <c:numCache>
                <c:formatCode>General</c:formatCode>
                <c:ptCount val="18"/>
                <c:pt idx="0">
                  <c:v>-4.3240028149180247</c:v>
                </c:pt>
                <c:pt idx="1">
                  <c:v>-4.3240028149180247</c:v>
                </c:pt>
                <c:pt idx="2">
                  <c:v>-4.9412289292773979</c:v>
                </c:pt>
                <c:pt idx="3">
                  <c:v>-4.9412289292773979</c:v>
                </c:pt>
                <c:pt idx="4">
                  <c:v>-5.3261755089026162</c:v>
                </c:pt>
                <c:pt idx="5">
                  <c:v>-5.3261755089026162</c:v>
                </c:pt>
                <c:pt idx="6">
                  <c:v>-5.5994101257240931</c:v>
                </c:pt>
                <c:pt idx="7">
                  <c:v>-5.5994101257240931</c:v>
                </c:pt>
                <c:pt idx="8">
                  <c:v>-5.8023596910552833</c:v>
                </c:pt>
                <c:pt idx="9">
                  <c:v>-5.8023596910552833</c:v>
                </c:pt>
                <c:pt idx="10">
                  <c:v>-5.9541718716002006</c:v>
                </c:pt>
                <c:pt idx="11">
                  <c:v>-5.9541718716002006</c:v>
                </c:pt>
                <c:pt idx="12">
                  <c:v>-6.0650962759611531</c:v>
                </c:pt>
                <c:pt idx="13">
                  <c:v>-6.0650962759611531</c:v>
                </c:pt>
                <c:pt idx="14">
                  <c:v>-6.1410311065124086</c:v>
                </c:pt>
                <c:pt idx="15">
                  <c:v>-6.1410311065124086</c:v>
                </c:pt>
                <c:pt idx="16">
                  <c:v>-6.1853986403976684</c:v>
                </c:pt>
                <c:pt idx="17">
                  <c:v>-6.1853986403976684</c:v>
                </c:pt>
              </c:numCache>
            </c:numRef>
          </c:xVal>
          <c:yVal>
            <c:numRef>
              <c:f>(parallel!$K$32:$K$33,parallel!$M$32:$M$33,parallel!$O$32:$O$33,parallel!$Q$32:$Q$33,parallel!$S$32:$S$33,parallel!$U$32:$U$33,parallel!$W$32:$W$33,parallel!$Y$32:$Y$33,parallel!$AA$32:$AA$33)</c:f>
              <c:numCache>
                <c:formatCode>General</c:formatCode>
                <c:ptCount val="18"/>
                <c:pt idx="0">
                  <c:v>8.9819978888114793</c:v>
                </c:pt>
                <c:pt idx="1">
                  <c:v>-8.9819978888114793</c:v>
                </c:pt>
                <c:pt idx="2">
                  <c:v>7.5957126464439391</c:v>
                </c:pt>
                <c:pt idx="3">
                  <c:v>-7.5957126464439391</c:v>
                </c:pt>
                <c:pt idx="4">
                  <c:v>6.4585437744415</c:v>
                </c:pt>
                <c:pt idx="5">
                  <c:v>-6.4585437744415</c:v>
                </c:pt>
                <c:pt idx="6">
                  <c:v>5.4328909276264046</c:v>
                </c:pt>
                <c:pt idx="7">
                  <c:v>-5.4328909276264046</c:v>
                </c:pt>
                <c:pt idx="8">
                  <c:v>4.4688356373367402</c:v>
                </c:pt>
                <c:pt idx="9">
                  <c:v>-4.4688356373367402</c:v>
                </c:pt>
                <c:pt idx="10">
                  <c:v>3.5423141562774902</c:v>
                </c:pt>
                <c:pt idx="11">
                  <c:v>-3.5423141562774902</c:v>
                </c:pt>
                <c:pt idx="12">
                  <c:v>2.6397012314173631</c:v>
                </c:pt>
                <c:pt idx="13">
                  <c:v>-2.6397012314173631</c:v>
                </c:pt>
                <c:pt idx="14">
                  <c:v>1.7523176923496346</c:v>
                </c:pt>
                <c:pt idx="15">
                  <c:v>-1.7523176923496346</c:v>
                </c:pt>
                <c:pt idx="16">
                  <c:v>0.87402650446683039</c:v>
                </c:pt>
                <c:pt idx="17">
                  <c:v>-0.87402650446683039</c:v>
                </c:pt>
              </c:numCache>
            </c:numRef>
          </c:yVal>
          <c:smooth val="1"/>
        </c:ser>
        <c:ser>
          <c:idx val="31"/>
          <c:order val="31"/>
          <c:tx>
            <c:v>metopo4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(parallel!$J$34:$J$35,parallel!$L$34:$L$35,parallel!$N$34:$N$35,parallel!$P$34:$P$35,parallel!$R$34:$R$35,parallel!$T$34:$T$35,parallel!$V$34:$V$35,parallel!$X$34:$X$35,parallel!$Z$34:$Z$35)</c:f>
              <c:numCache>
                <c:formatCode>General</c:formatCode>
                <c:ptCount val="18"/>
                <c:pt idx="0">
                  <c:v>-9.2999999999999972</c:v>
                </c:pt>
                <c:pt idx="1">
                  <c:v>-9.2999999999999972</c:v>
                </c:pt>
                <c:pt idx="2">
                  <c:v>-9.2999999999999972</c:v>
                </c:pt>
                <c:pt idx="3">
                  <c:v>-9.2999999999999972</c:v>
                </c:pt>
                <c:pt idx="4">
                  <c:v>-9.2999999999999972</c:v>
                </c:pt>
                <c:pt idx="5">
                  <c:v>-9.2999999999999972</c:v>
                </c:pt>
                <c:pt idx="6">
                  <c:v>-9.2999999999999972</c:v>
                </c:pt>
                <c:pt idx="7">
                  <c:v>-9.2999999999999972</c:v>
                </c:pt>
                <c:pt idx="8">
                  <c:v>-9.2999999999999972</c:v>
                </c:pt>
                <c:pt idx="9">
                  <c:v>-9.2999999999999972</c:v>
                </c:pt>
                <c:pt idx="10">
                  <c:v>-9.2999999999999972</c:v>
                </c:pt>
                <c:pt idx="11">
                  <c:v>-9.2999999999999972</c:v>
                </c:pt>
                <c:pt idx="12">
                  <c:v>-9.3806486614405991</c:v>
                </c:pt>
                <c:pt idx="13">
                  <c:v>-9.3806486614405991</c:v>
                </c:pt>
                <c:pt idx="14">
                  <c:v>-9.4667451431405194</c:v>
                </c:pt>
                <c:pt idx="15">
                  <c:v>-9.4667451431405194</c:v>
                </c:pt>
                <c:pt idx="16">
                  <c:v>-9.5168671682174519</c:v>
                </c:pt>
                <c:pt idx="17">
                  <c:v>-9.5168671682174519</c:v>
                </c:pt>
              </c:numCache>
            </c:numRef>
          </c:xVal>
          <c:yVal>
            <c:numRef>
              <c:f>(parallel!$K$34:$K$35,parallel!$M$34:$M$35,parallel!$O$34:$O$35,parallel!$Q$34:$Q$35,parallel!$S$34:$S$35,parallel!$U$34:$U$35,parallel!$W$34:$W$35,parallel!$Y$34:$Y$35,parallel!$AA$34:$AA$35)</c:f>
              <c:numCache>
                <c:formatCode>General</c:formatCode>
                <c:ptCount val="18"/>
                <c:pt idx="0">
                  <c:v>9</c:v>
                </c:pt>
                <c:pt idx="1">
                  <c:v>-9</c:v>
                </c:pt>
                <c:pt idx="2">
                  <c:v>8</c:v>
                </c:pt>
                <c:pt idx="3">
                  <c:v>-8</c:v>
                </c:pt>
                <c:pt idx="4">
                  <c:v>7</c:v>
                </c:pt>
                <c:pt idx="5">
                  <c:v>-7</c:v>
                </c:pt>
                <c:pt idx="6">
                  <c:v>6</c:v>
                </c:pt>
                <c:pt idx="7">
                  <c:v>-6</c:v>
                </c:pt>
                <c:pt idx="8">
                  <c:v>5</c:v>
                </c:pt>
                <c:pt idx="9">
                  <c:v>-5</c:v>
                </c:pt>
                <c:pt idx="10">
                  <c:v>4</c:v>
                </c:pt>
                <c:pt idx="11">
                  <c:v>-4</c:v>
                </c:pt>
                <c:pt idx="12">
                  <c:v>2.9835376609193371</c:v>
                </c:pt>
                <c:pt idx="13">
                  <c:v>-2.9835376609193371</c:v>
                </c:pt>
                <c:pt idx="14">
                  <c:v>1.97756701573567</c:v>
                </c:pt>
                <c:pt idx="15">
                  <c:v>-1.97756701573567</c:v>
                </c:pt>
                <c:pt idx="16">
                  <c:v>0.98550995282304299</c:v>
                </c:pt>
                <c:pt idx="17">
                  <c:v>-0.98550995282304299</c:v>
                </c:pt>
              </c:numCache>
            </c:numRef>
          </c:yVal>
          <c:smooth val="1"/>
        </c:ser>
        <c:ser>
          <c:idx val="32"/>
          <c:order val="32"/>
          <c:tx>
            <c:v>metopo 5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(parallel!$J$36:$J$37,parallel!$L$36:$L$37,parallel!$N$36:$N$37,parallel!$P$36:$P$37,parallel!$R$36:$R$37,parallel!$T$36:$T$37,parallel!$V$36:$V$37,parallel!$X$36:$X$37,parallel!$Z$36:$Z$37)</c:f>
              <c:numCache>
                <c:formatCode>General</c:formatCode>
                <c:ptCount val="18"/>
                <c:pt idx="0">
                  <c:v>-14.299999999999997</c:v>
                </c:pt>
                <c:pt idx="1">
                  <c:v>-14.299999999999997</c:v>
                </c:pt>
                <c:pt idx="2">
                  <c:v>-14.299999999999997</c:v>
                </c:pt>
                <c:pt idx="3">
                  <c:v>-14.299999999999997</c:v>
                </c:pt>
                <c:pt idx="4">
                  <c:v>-14.299999999999997</c:v>
                </c:pt>
                <c:pt idx="5">
                  <c:v>-14.299999999999997</c:v>
                </c:pt>
                <c:pt idx="6">
                  <c:v>-14.299999999999997</c:v>
                </c:pt>
                <c:pt idx="7">
                  <c:v>-14.299999999999997</c:v>
                </c:pt>
                <c:pt idx="8">
                  <c:v>-14.299999999999997</c:v>
                </c:pt>
                <c:pt idx="9">
                  <c:v>-14.299999999999997</c:v>
                </c:pt>
                <c:pt idx="10">
                  <c:v>-14.299999999999997</c:v>
                </c:pt>
                <c:pt idx="11">
                  <c:v>-14.299999999999997</c:v>
                </c:pt>
                <c:pt idx="12">
                  <c:v>-14.299999999999997</c:v>
                </c:pt>
                <c:pt idx="13">
                  <c:v>-14.299999999999997</c:v>
                </c:pt>
                <c:pt idx="14">
                  <c:v>-14.299999999999997</c:v>
                </c:pt>
                <c:pt idx="15">
                  <c:v>-14.299999999999997</c:v>
                </c:pt>
                <c:pt idx="16">
                  <c:v>-14.299999999999997</c:v>
                </c:pt>
                <c:pt idx="17">
                  <c:v>-14.299999999999997</c:v>
                </c:pt>
              </c:numCache>
            </c:numRef>
          </c:xVal>
          <c:yVal>
            <c:numRef>
              <c:f>(parallel!$K$36:$K$37,parallel!$M$36:$M$37,parallel!$O$36:$O$37,parallel!$Q$36:$Q$37,parallel!$S$36:$S$37,parallel!$U$36:$U$37,parallel!$W$36:$W$37,parallel!$Y$36:$Y$37,parallel!$AA$36:$AA$37)</c:f>
              <c:numCache>
                <c:formatCode>General</c:formatCode>
                <c:ptCount val="18"/>
                <c:pt idx="0">
                  <c:v>9</c:v>
                </c:pt>
                <c:pt idx="1">
                  <c:v>-9</c:v>
                </c:pt>
                <c:pt idx="2">
                  <c:v>8</c:v>
                </c:pt>
                <c:pt idx="3">
                  <c:v>-8</c:v>
                </c:pt>
                <c:pt idx="4">
                  <c:v>7</c:v>
                </c:pt>
                <c:pt idx="5">
                  <c:v>-7</c:v>
                </c:pt>
                <c:pt idx="6">
                  <c:v>6</c:v>
                </c:pt>
                <c:pt idx="7">
                  <c:v>-6</c:v>
                </c:pt>
                <c:pt idx="8">
                  <c:v>5</c:v>
                </c:pt>
                <c:pt idx="9">
                  <c:v>-5</c:v>
                </c:pt>
                <c:pt idx="10">
                  <c:v>4</c:v>
                </c:pt>
                <c:pt idx="11">
                  <c:v>-4</c:v>
                </c:pt>
                <c:pt idx="12">
                  <c:v>3</c:v>
                </c:pt>
                <c:pt idx="13">
                  <c:v>-3</c:v>
                </c:pt>
                <c:pt idx="14">
                  <c:v>2</c:v>
                </c:pt>
                <c:pt idx="15">
                  <c:v>-2</c:v>
                </c:pt>
                <c:pt idx="16">
                  <c:v>1</c:v>
                </c:pt>
                <c:pt idx="17">
                  <c:v>-1</c:v>
                </c:pt>
              </c:numCache>
            </c:numRef>
          </c:yVal>
          <c:smooth val="1"/>
        </c:ser>
        <c:ser>
          <c:idx val="33"/>
          <c:order val="33"/>
          <c:tx>
            <c:v>metopo 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(parallel!$J$38:$J$39,parallel!$L$38:$L$39,parallel!$N$38:$N$39,parallel!$P$38:$P$39,parallel!$R$38:$R$39,parallel!$T$38:$T$39,parallel!$V$38:$V$39,parallel!$X$38:$X$39,parallel!$Z$38:$Z$39)</c:f>
              <c:numCache>
                <c:formatCode>General</c:formatCode>
                <c:ptCount val="18"/>
                <c:pt idx="0">
                  <c:v>-19.299999999999997</c:v>
                </c:pt>
                <c:pt idx="1">
                  <c:v>-19.299999999999997</c:v>
                </c:pt>
                <c:pt idx="2">
                  <c:v>-19.299999999999997</c:v>
                </c:pt>
                <c:pt idx="3">
                  <c:v>-19.299999999999997</c:v>
                </c:pt>
                <c:pt idx="4">
                  <c:v>-19.299999999999997</c:v>
                </c:pt>
                <c:pt idx="5">
                  <c:v>-19.299999999999997</c:v>
                </c:pt>
                <c:pt idx="6">
                  <c:v>-19.299999999999997</c:v>
                </c:pt>
                <c:pt idx="7">
                  <c:v>-19.299999999999997</c:v>
                </c:pt>
                <c:pt idx="8">
                  <c:v>-19.299999999999997</c:v>
                </c:pt>
                <c:pt idx="9">
                  <c:v>-19.299999999999997</c:v>
                </c:pt>
                <c:pt idx="10">
                  <c:v>-19.299999999999997</c:v>
                </c:pt>
                <c:pt idx="11">
                  <c:v>-19.299999999999997</c:v>
                </c:pt>
                <c:pt idx="12">
                  <c:v>-19.299999999999997</c:v>
                </c:pt>
                <c:pt idx="13">
                  <c:v>-19.299999999999997</c:v>
                </c:pt>
                <c:pt idx="14">
                  <c:v>-19.299999999999997</c:v>
                </c:pt>
                <c:pt idx="15">
                  <c:v>-19.299999999999997</c:v>
                </c:pt>
                <c:pt idx="16">
                  <c:v>-19.299999999999997</c:v>
                </c:pt>
                <c:pt idx="17">
                  <c:v>-19.299999999999997</c:v>
                </c:pt>
              </c:numCache>
            </c:numRef>
          </c:xVal>
          <c:yVal>
            <c:numRef>
              <c:f>(parallel!$K$38:$K$39,parallel!$M$38:$M$39,parallel!$O$38:$O$39,parallel!$Q$38:$Q$39,parallel!$S$38:$S$39,parallel!$U$38:$U$39,parallel!$W$38:$W$39,parallel!$Y$38:$Y$39,parallel!$AA$38:$AA$39)</c:f>
              <c:numCache>
                <c:formatCode>General</c:formatCode>
                <c:ptCount val="18"/>
                <c:pt idx="0">
                  <c:v>9</c:v>
                </c:pt>
                <c:pt idx="1">
                  <c:v>-9</c:v>
                </c:pt>
                <c:pt idx="2">
                  <c:v>8</c:v>
                </c:pt>
                <c:pt idx="3">
                  <c:v>-8</c:v>
                </c:pt>
                <c:pt idx="4">
                  <c:v>7</c:v>
                </c:pt>
                <c:pt idx="5">
                  <c:v>-7</c:v>
                </c:pt>
                <c:pt idx="6">
                  <c:v>6</c:v>
                </c:pt>
                <c:pt idx="7">
                  <c:v>-6</c:v>
                </c:pt>
                <c:pt idx="8">
                  <c:v>5</c:v>
                </c:pt>
                <c:pt idx="9">
                  <c:v>-5</c:v>
                </c:pt>
                <c:pt idx="10">
                  <c:v>4</c:v>
                </c:pt>
                <c:pt idx="11">
                  <c:v>-4</c:v>
                </c:pt>
                <c:pt idx="12">
                  <c:v>3</c:v>
                </c:pt>
                <c:pt idx="13">
                  <c:v>-3</c:v>
                </c:pt>
                <c:pt idx="14">
                  <c:v>2</c:v>
                </c:pt>
                <c:pt idx="15">
                  <c:v>-2</c:v>
                </c:pt>
                <c:pt idx="16">
                  <c:v>1</c:v>
                </c:pt>
                <c:pt idx="17">
                  <c:v>-1</c:v>
                </c:pt>
              </c:numCache>
            </c:numRef>
          </c:yVal>
          <c:smooth val="1"/>
        </c:ser>
        <c:ser>
          <c:idx val="34"/>
          <c:order val="34"/>
          <c:tx>
            <c:v>metopo7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(parallel!$J$40:$J$41,parallel!$L$40:$L$41,parallel!$N$40:$N$41,parallel!$P$40:$P$41,parallel!$R$40:$R$41,parallel!$T$40:$T$41,parallel!$V$40:$V$41,parallel!$X$40:$X$41,parallel!$Z$40:$Z$41)</c:f>
              <c:numCache>
                <c:formatCode>General</c:formatCode>
                <c:ptCount val="18"/>
                <c:pt idx="0">
                  <c:v>-24.299999999999997</c:v>
                </c:pt>
                <c:pt idx="1">
                  <c:v>-24.299999999999997</c:v>
                </c:pt>
                <c:pt idx="2">
                  <c:v>-24.299999999999997</c:v>
                </c:pt>
                <c:pt idx="3">
                  <c:v>-24.299999999999997</c:v>
                </c:pt>
                <c:pt idx="4">
                  <c:v>-24.299999999999997</c:v>
                </c:pt>
                <c:pt idx="5">
                  <c:v>-24.299999999999997</c:v>
                </c:pt>
                <c:pt idx="6">
                  <c:v>-24.299999999999997</c:v>
                </c:pt>
                <c:pt idx="7">
                  <c:v>-24.299999999999997</c:v>
                </c:pt>
                <c:pt idx="8">
                  <c:v>-24.299999999999997</c:v>
                </c:pt>
                <c:pt idx="9">
                  <c:v>-24.299999999999997</c:v>
                </c:pt>
                <c:pt idx="10">
                  <c:v>-24.299999999999997</c:v>
                </c:pt>
                <c:pt idx="11">
                  <c:v>-24.299999999999997</c:v>
                </c:pt>
                <c:pt idx="12">
                  <c:v>-24.299999999999997</c:v>
                </c:pt>
                <c:pt idx="13">
                  <c:v>-24.299999999999997</c:v>
                </c:pt>
                <c:pt idx="14">
                  <c:v>-24.299999999999997</c:v>
                </c:pt>
                <c:pt idx="15">
                  <c:v>-24.299999999999997</c:v>
                </c:pt>
                <c:pt idx="16">
                  <c:v>-24.299999999999997</c:v>
                </c:pt>
                <c:pt idx="17">
                  <c:v>-24.299999999999997</c:v>
                </c:pt>
              </c:numCache>
            </c:numRef>
          </c:xVal>
          <c:yVal>
            <c:numRef>
              <c:f>(parallel!$K$40:$K$41,parallel!$M$40:$M$41,parallel!$O$40:$O$41,parallel!$Q$40:$Q$41,parallel!$S$40:$S$41,parallel!$U$40:$U$41,parallel!$W$40:$W$41,parallel!$Y$40:$Y$41,parallel!$AA$40:$AA$41)</c:f>
              <c:numCache>
                <c:formatCode>General</c:formatCode>
                <c:ptCount val="18"/>
                <c:pt idx="0">
                  <c:v>9</c:v>
                </c:pt>
                <c:pt idx="1">
                  <c:v>-9</c:v>
                </c:pt>
                <c:pt idx="2">
                  <c:v>8</c:v>
                </c:pt>
                <c:pt idx="3">
                  <c:v>-8</c:v>
                </c:pt>
                <c:pt idx="4">
                  <c:v>7</c:v>
                </c:pt>
                <c:pt idx="5">
                  <c:v>-7</c:v>
                </c:pt>
                <c:pt idx="6">
                  <c:v>6</c:v>
                </c:pt>
                <c:pt idx="7">
                  <c:v>-6</c:v>
                </c:pt>
                <c:pt idx="8">
                  <c:v>5</c:v>
                </c:pt>
                <c:pt idx="9">
                  <c:v>-5</c:v>
                </c:pt>
                <c:pt idx="10">
                  <c:v>4</c:v>
                </c:pt>
                <c:pt idx="11">
                  <c:v>-4</c:v>
                </c:pt>
                <c:pt idx="12">
                  <c:v>3</c:v>
                </c:pt>
                <c:pt idx="13">
                  <c:v>-3</c:v>
                </c:pt>
                <c:pt idx="14">
                  <c:v>2</c:v>
                </c:pt>
                <c:pt idx="15">
                  <c:v>-2</c:v>
                </c:pt>
                <c:pt idx="16">
                  <c:v>1</c:v>
                </c:pt>
                <c:pt idx="17">
                  <c:v>-1</c:v>
                </c:pt>
              </c:numCache>
            </c:numRef>
          </c:yVal>
          <c:smooth val="1"/>
        </c:ser>
        <c:ser>
          <c:idx val="35"/>
          <c:order val="35"/>
          <c:tx>
            <c:v>metopo 8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(parallel!$J$42:$J$43,parallel!$L$42:$L$43,parallel!$N$42:$N$43,parallel!$P$42:$P$43,parallel!$R$42:$R$43,parallel!$T$42:$T$43,parallel!$V$42:$V$43,parallel!$X$42:$X$43,parallel!$Z$42:$Z$43)</c:f>
              <c:numCache>
                <c:formatCode>General</c:formatCode>
                <c:ptCount val="18"/>
                <c:pt idx="0">
                  <c:v>-29.299999999999997</c:v>
                </c:pt>
                <c:pt idx="1">
                  <c:v>-29.299999999999997</c:v>
                </c:pt>
                <c:pt idx="2">
                  <c:v>-29.299999999999997</c:v>
                </c:pt>
                <c:pt idx="3">
                  <c:v>-29.299999999999997</c:v>
                </c:pt>
                <c:pt idx="4">
                  <c:v>-29.299999999999997</c:v>
                </c:pt>
                <c:pt idx="5">
                  <c:v>-29.299999999999997</c:v>
                </c:pt>
                <c:pt idx="6">
                  <c:v>-29.299999999999997</c:v>
                </c:pt>
                <c:pt idx="7">
                  <c:v>-29.299999999999997</c:v>
                </c:pt>
                <c:pt idx="8">
                  <c:v>-29.299999999999997</c:v>
                </c:pt>
                <c:pt idx="9">
                  <c:v>-29.299999999999997</c:v>
                </c:pt>
                <c:pt idx="10">
                  <c:v>-29.299999999999997</c:v>
                </c:pt>
                <c:pt idx="11">
                  <c:v>-29.299999999999997</c:v>
                </c:pt>
                <c:pt idx="12">
                  <c:v>-29.299999999999997</c:v>
                </c:pt>
                <c:pt idx="13">
                  <c:v>-29.299999999999997</c:v>
                </c:pt>
                <c:pt idx="14">
                  <c:v>-29.299999999999997</c:v>
                </c:pt>
                <c:pt idx="15">
                  <c:v>-29.299999999999997</c:v>
                </c:pt>
                <c:pt idx="16">
                  <c:v>-29.299999999999997</c:v>
                </c:pt>
                <c:pt idx="17">
                  <c:v>-29.299999999999997</c:v>
                </c:pt>
              </c:numCache>
            </c:numRef>
          </c:xVal>
          <c:yVal>
            <c:numRef>
              <c:f>(parallel!$K$42:$K$43,parallel!$M$42:$M$43,parallel!$O$42:$O$43,parallel!$Q$42:$Q$43,parallel!$S$42:$S$43,parallel!$U$42:$U$43,parallel!$W$42:$W$43,parallel!$Y$42:$Y$43,parallel!$AA$42:$AA$43)</c:f>
              <c:numCache>
                <c:formatCode>General</c:formatCode>
                <c:ptCount val="18"/>
                <c:pt idx="0">
                  <c:v>9</c:v>
                </c:pt>
                <c:pt idx="1">
                  <c:v>-9</c:v>
                </c:pt>
                <c:pt idx="2">
                  <c:v>8</c:v>
                </c:pt>
                <c:pt idx="3">
                  <c:v>-8</c:v>
                </c:pt>
                <c:pt idx="4">
                  <c:v>7</c:v>
                </c:pt>
                <c:pt idx="5">
                  <c:v>-7</c:v>
                </c:pt>
                <c:pt idx="6">
                  <c:v>6</c:v>
                </c:pt>
                <c:pt idx="7">
                  <c:v>-6</c:v>
                </c:pt>
                <c:pt idx="8">
                  <c:v>5</c:v>
                </c:pt>
                <c:pt idx="9">
                  <c:v>-5</c:v>
                </c:pt>
                <c:pt idx="10">
                  <c:v>4</c:v>
                </c:pt>
                <c:pt idx="11">
                  <c:v>-4</c:v>
                </c:pt>
                <c:pt idx="12">
                  <c:v>3</c:v>
                </c:pt>
                <c:pt idx="13">
                  <c:v>-3</c:v>
                </c:pt>
                <c:pt idx="14">
                  <c:v>2</c:v>
                </c:pt>
                <c:pt idx="15">
                  <c:v>-2</c:v>
                </c:pt>
                <c:pt idx="16">
                  <c:v>1</c:v>
                </c:pt>
                <c:pt idx="17">
                  <c:v>-1</c:v>
                </c:pt>
              </c:numCache>
            </c:numRef>
          </c:yVal>
          <c:smooth val="1"/>
        </c:ser>
        <c:ser>
          <c:idx val="36"/>
          <c:order val="36"/>
          <c:tx>
            <c:v>metopo 9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(parallel!$J$44:$J$45,parallel!$L$44:$L$45,parallel!$N$44:$N$45,parallel!$P$44:$P$45,parallel!$R$44:$R$45,parallel!$T$44:$T$45,parallel!$V$44:$V$45,parallel!$X$44:$X$45,parallel!$Z$44:$Z$45)</c:f>
              <c:numCache>
                <c:formatCode>General</c:formatCode>
                <c:ptCount val="18"/>
                <c:pt idx="0">
                  <c:v>-34.299999999999997</c:v>
                </c:pt>
                <c:pt idx="1">
                  <c:v>-34.299999999999997</c:v>
                </c:pt>
                <c:pt idx="2">
                  <c:v>-34.299999999999997</c:v>
                </c:pt>
                <c:pt idx="3">
                  <c:v>-34.299999999999997</c:v>
                </c:pt>
                <c:pt idx="4">
                  <c:v>-34.299999999999997</c:v>
                </c:pt>
                <c:pt idx="5">
                  <c:v>-34.299999999999997</c:v>
                </c:pt>
                <c:pt idx="6">
                  <c:v>-34.299999999999997</c:v>
                </c:pt>
                <c:pt idx="7">
                  <c:v>-34.299999999999997</c:v>
                </c:pt>
                <c:pt idx="8">
                  <c:v>-34.299999999999997</c:v>
                </c:pt>
                <c:pt idx="9">
                  <c:v>-34.299999999999997</c:v>
                </c:pt>
                <c:pt idx="10">
                  <c:v>-34.299999999999997</c:v>
                </c:pt>
                <c:pt idx="11">
                  <c:v>-34.299999999999997</c:v>
                </c:pt>
                <c:pt idx="12">
                  <c:v>-34.299999999999997</c:v>
                </c:pt>
                <c:pt idx="13">
                  <c:v>-34.299999999999997</c:v>
                </c:pt>
                <c:pt idx="14">
                  <c:v>-34.299999999999997</c:v>
                </c:pt>
                <c:pt idx="15">
                  <c:v>-34.299999999999997</c:v>
                </c:pt>
                <c:pt idx="16">
                  <c:v>-34.299999999999997</c:v>
                </c:pt>
                <c:pt idx="17">
                  <c:v>-34.299999999999997</c:v>
                </c:pt>
              </c:numCache>
            </c:numRef>
          </c:xVal>
          <c:yVal>
            <c:numRef>
              <c:f>(parallel!$K$44:$K$45,parallel!$M$44:$M$45,parallel!$O$44:$O$45,parallel!$Q$44:$Q$45,parallel!$S$44:$S$45,parallel!$U$44:$U$45,parallel!$W$44:$W$45,parallel!$Y$44:$Y$45,parallel!$AA$44:$AA$45)</c:f>
              <c:numCache>
                <c:formatCode>General</c:formatCode>
                <c:ptCount val="18"/>
                <c:pt idx="0">
                  <c:v>9</c:v>
                </c:pt>
                <c:pt idx="1">
                  <c:v>-9</c:v>
                </c:pt>
                <c:pt idx="2">
                  <c:v>8</c:v>
                </c:pt>
                <c:pt idx="3">
                  <c:v>-8</c:v>
                </c:pt>
                <c:pt idx="4">
                  <c:v>7</c:v>
                </c:pt>
                <c:pt idx="5">
                  <c:v>-7</c:v>
                </c:pt>
                <c:pt idx="6">
                  <c:v>6</c:v>
                </c:pt>
                <c:pt idx="7">
                  <c:v>-6</c:v>
                </c:pt>
                <c:pt idx="8">
                  <c:v>5</c:v>
                </c:pt>
                <c:pt idx="9">
                  <c:v>-5</c:v>
                </c:pt>
                <c:pt idx="10">
                  <c:v>4</c:v>
                </c:pt>
                <c:pt idx="11">
                  <c:v>-4</c:v>
                </c:pt>
                <c:pt idx="12">
                  <c:v>3</c:v>
                </c:pt>
                <c:pt idx="13">
                  <c:v>-3</c:v>
                </c:pt>
                <c:pt idx="14">
                  <c:v>2</c:v>
                </c:pt>
                <c:pt idx="15">
                  <c:v>-2</c:v>
                </c:pt>
                <c:pt idx="16">
                  <c:v>1</c:v>
                </c:pt>
                <c:pt idx="17">
                  <c:v>-1</c:v>
                </c:pt>
              </c:numCache>
            </c:numRef>
          </c:yVal>
          <c:smooth val="1"/>
        </c:ser>
        <c:ser>
          <c:idx val="37"/>
          <c:order val="37"/>
          <c:tx>
            <c:v>metopo 10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(parallel!$J$46:$J$47,parallel!$L$46:$L$47,parallel!$N$46:$N$47,parallel!$P$46:$P$47,parallel!$R$46:$R$47,parallel!$T$46:$T$47,parallel!$V$46:$V$47,parallel!$X$46:$X$47,parallel!$Z$46:$Z$47)</c:f>
              <c:numCache>
                <c:formatCode>General</c:formatCode>
                <c:ptCount val="18"/>
                <c:pt idx="0">
                  <c:v>-39.299999999999997</c:v>
                </c:pt>
                <c:pt idx="1">
                  <c:v>-39.299999999999997</c:v>
                </c:pt>
                <c:pt idx="2">
                  <c:v>-39.299999999999997</c:v>
                </c:pt>
                <c:pt idx="3">
                  <c:v>-39.299999999999997</c:v>
                </c:pt>
                <c:pt idx="4">
                  <c:v>-39.299999999999997</c:v>
                </c:pt>
                <c:pt idx="5">
                  <c:v>-39.299999999999997</c:v>
                </c:pt>
                <c:pt idx="6">
                  <c:v>-39.299999999999997</c:v>
                </c:pt>
                <c:pt idx="7">
                  <c:v>-39.299999999999997</c:v>
                </c:pt>
                <c:pt idx="8">
                  <c:v>-39.299999999999997</c:v>
                </c:pt>
                <c:pt idx="9">
                  <c:v>-39.299999999999997</c:v>
                </c:pt>
                <c:pt idx="10">
                  <c:v>-39.299999999999997</c:v>
                </c:pt>
                <c:pt idx="11">
                  <c:v>-39.299999999999997</c:v>
                </c:pt>
                <c:pt idx="12">
                  <c:v>-39.299999999999997</c:v>
                </c:pt>
                <c:pt idx="13">
                  <c:v>-39.299999999999997</c:v>
                </c:pt>
                <c:pt idx="14">
                  <c:v>-39.299999999999997</c:v>
                </c:pt>
                <c:pt idx="15">
                  <c:v>-39.299999999999997</c:v>
                </c:pt>
                <c:pt idx="16">
                  <c:v>-39.299999999999997</c:v>
                </c:pt>
                <c:pt idx="17">
                  <c:v>-39.299999999999997</c:v>
                </c:pt>
              </c:numCache>
            </c:numRef>
          </c:xVal>
          <c:yVal>
            <c:numRef>
              <c:f>(parallel!$K$46:$K$47,parallel!$M$46:$M$47,parallel!$O$46:$O$47,parallel!$Q$46:$Q$47,parallel!$S$46:$S$47,parallel!$U$46:$U$47,parallel!$W$46:$W$47,parallel!$Y$46:$Y$47,parallel!$AA$46:$AA$47)</c:f>
              <c:numCache>
                <c:formatCode>General</c:formatCode>
                <c:ptCount val="18"/>
                <c:pt idx="0">
                  <c:v>9</c:v>
                </c:pt>
                <c:pt idx="1">
                  <c:v>-9</c:v>
                </c:pt>
                <c:pt idx="2">
                  <c:v>8</c:v>
                </c:pt>
                <c:pt idx="3">
                  <c:v>-8</c:v>
                </c:pt>
                <c:pt idx="4">
                  <c:v>7</c:v>
                </c:pt>
                <c:pt idx="5">
                  <c:v>-7</c:v>
                </c:pt>
                <c:pt idx="6">
                  <c:v>6</c:v>
                </c:pt>
                <c:pt idx="7">
                  <c:v>-6</c:v>
                </c:pt>
                <c:pt idx="8">
                  <c:v>5</c:v>
                </c:pt>
                <c:pt idx="9">
                  <c:v>-5</c:v>
                </c:pt>
                <c:pt idx="10">
                  <c:v>4</c:v>
                </c:pt>
                <c:pt idx="11">
                  <c:v>-4</c:v>
                </c:pt>
                <c:pt idx="12">
                  <c:v>3</c:v>
                </c:pt>
                <c:pt idx="13">
                  <c:v>-3</c:v>
                </c:pt>
                <c:pt idx="14">
                  <c:v>2</c:v>
                </c:pt>
                <c:pt idx="15">
                  <c:v>-2</c:v>
                </c:pt>
                <c:pt idx="16">
                  <c:v>1</c:v>
                </c:pt>
                <c:pt idx="17">
                  <c:v>-1</c:v>
                </c:pt>
              </c:numCache>
            </c:numRef>
          </c:yVal>
          <c:smooth val="1"/>
        </c:ser>
        <c:ser>
          <c:idx val="38"/>
          <c:order val="38"/>
          <c:tx>
            <c:v>metopo 11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(parallel!$J$48:$J$49,parallel!$L$48:$L$49,parallel!$N$48:$N$49,parallel!$P$48:$P$49,parallel!$R$48:$R$49,parallel!$T$48:$T$49,parallel!$V$48:$V$49,parallel!$X$48:$X$49,parallel!$Z$48:$Z$50,parallel!$Z$50)</c:f>
              <c:numCache>
                <c:formatCode>General</c:formatCode>
                <c:ptCount val="20"/>
                <c:pt idx="0">
                  <c:v>-44.3</c:v>
                </c:pt>
                <c:pt idx="1">
                  <c:v>-44.3</c:v>
                </c:pt>
                <c:pt idx="2">
                  <c:v>-44.3</c:v>
                </c:pt>
                <c:pt idx="3">
                  <c:v>-44.3</c:v>
                </c:pt>
                <c:pt idx="4">
                  <c:v>-44.3</c:v>
                </c:pt>
                <c:pt idx="5">
                  <c:v>-44.3</c:v>
                </c:pt>
                <c:pt idx="6">
                  <c:v>-44.3</c:v>
                </c:pt>
                <c:pt idx="7">
                  <c:v>-44.3</c:v>
                </c:pt>
                <c:pt idx="8">
                  <c:v>-44.3</c:v>
                </c:pt>
                <c:pt idx="9">
                  <c:v>-44.3</c:v>
                </c:pt>
                <c:pt idx="10">
                  <c:v>-44.3</c:v>
                </c:pt>
                <c:pt idx="11">
                  <c:v>-44.3</c:v>
                </c:pt>
                <c:pt idx="12">
                  <c:v>-44.3</c:v>
                </c:pt>
                <c:pt idx="13">
                  <c:v>-44.3</c:v>
                </c:pt>
                <c:pt idx="14">
                  <c:v>-44.3</c:v>
                </c:pt>
                <c:pt idx="15">
                  <c:v>-44.3</c:v>
                </c:pt>
                <c:pt idx="16">
                  <c:v>-44.3</c:v>
                </c:pt>
                <c:pt idx="17">
                  <c:v>-44.3</c:v>
                </c:pt>
              </c:numCache>
            </c:numRef>
          </c:xVal>
          <c:yVal>
            <c:numRef>
              <c:f>(parallel!$K$48:$K$49,parallel!$M$48:$M$49,parallel!$O$48:$O$49,parallel!$Q$48:$Q$49,parallel!$S$48:$S$49,parallel!$U$48:$U$49,parallel!$W$48:$W$49,parallel!$Y$48:$Y$49,parallel!$AA$48:$AA$49)</c:f>
              <c:numCache>
                <c:formatCode>General</c:formatCode>
                <c:ptCount val="18"/>
                <c:pt idx="0">
                  <c:v>9</c:v>
                </c:pt>
                <c:pt idx="1">
                  <c:v>-9</c:v>
                </c:pt>
                <c:pt idx="2">
                  <c:v>8</c:v>
                </c:pt>
                <c:pt idx="3">
                  <c:v>-8</c:v>
                </c:pt>
                <c:pt idx="4">
                  <c:v>7</c:v>
                </c:pt>
                <c:pt idx="5">
                  <c:v>-7</c:v>
                </c:pt>
                <c:pt idx="6">
                  <c:v>6</c:v>
                </c:pt>
                <c:pt idx="7">
                  <c:v>-6</c:v>
                </c:pt>
                <c:pt idx="8">
                  <c:v>5</c:v>
                </c:pt>
                <c:pt idx="9">
                  <c:v>-5</c:v>
                </c:pt>
                <c:pt idx="10">
                  <c:v>4</c:v>
                </c:pt>
                <c:pt idx="11">
                  <c:v>-4</c:v>
                </c:pt>
                <c:pt idx="12">
                  <c:v>3</c:v>
                </c:pt>
                <c:pt idx="13">
                  <c:v>-3</c:v>
                </c:pt>
                <c:pt idx="14">
                  <c:v>2</c:v>
                </c:pt>
                <c:pt idx="15">
                  <c:v>-2</c:v>
                </c:pt>
                <c:pt idx="16">
                  <c:v>1</c:v>
                </c:pt>
                <c:pt idx="17">
                  <c:v>-1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680704"/>
        <c:axId val="130695168"/>
      </c:scatterChart>
      <c:valAx>
        <c:axId val="130680704"/>
        <c:scaling>
          <c:orientation val="minMax"/>
          <c:max val="30"/>
          <c:min val="-3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30695168"/>
        <c:crosses val="autoZero"/>
        <c:crossBetween val="midCat"/>
      </c:valAx>
      <c:valAx>
        <c:axId val="130695168"/>
        <c:scaling>
          <c:orientation val="minMax"/>
          <c:max val="14"/>
          <c:min val="-14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30680704"/>
        <c:crosses val="autoZero"/>
        <c:crossBetween val="midCat"/>
        <c:majorUnit val="1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343408257399792E-2"/>
          <c:y val="6.6171649388153647E-2"/>
          <c:w val="0.90106631520845304"/>
          <c:h val="0.58405138090030473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'one point'!$AT$10:$AT$211</c:f>
              <c:numCache>
                <c:formatCode>General</c:formatCode>
                <c:ptCount val="202"/>
                <c:pt idx="0">
                  <c:v>-10</c:v>
                </c:pt>
                <c:pt idx="1">
                  <c:v>-9.9</c:v>
                </c:pt>
                <c:pt idx="2">
                  <c:v>-9.8000000000000007</c:v>
                </c:pt>
                <c:pt idx="3">
                  <c:v>-9.6999999999999993</c:v>
                </c:pt>
                <c:pt idx="4">
                  <c:v>-9.6</c:v>
                </c:pt>
                <c:pt idx="5">
                  <c:v>-9.5</c:v>
                </c:pt>
                <c:pt idx="6">
                  <c:v>-9.4</c:v>
                </c:pt>
                <c:pt idx="7">
                  <c:v>-9.3000000000000007</c:v>
                </c:pt>
                <c:pt idx="8">
                  <c:v>-9.1999999999999993</c:v>
                </c:pt>
                <c:pt idx="9">
                  <c:v>-9.1</c:v>
                </c:pt>
                <c:pt idx="10">
                  <c:v>-9</c:v>
                </c:pt>
                <c:pt idx="11">
                  <c:v>-8.9</c:v>
                </c:pt>
                <c:pt idx="12">
                  <c:v>-8.8000000000000007</c:v>
                </c:pt>
                <c:pt idx="13">
                  <c:v>-8.6999999999999993</c:v>
                </c:pt>
                <c:pt idx="14">
                  <c:v>-8.6</c:v>
                </c:pt>
                <c:pt idx="15">
                  <c:v>-8.5</c:v>
                </c:pt>
                <c:pt idx="16">
                  <c:v>-8.4</c:v>
                </c:pt>
                <c:pt idx="17">
                  <c:v>-8.3000000000000007</c:v>
                </c:pt>
                <c:pt idx="18">
                  <c:v>-8.1999999999999993</c:v>
                </c:pt>
                <c:pt idx="19">
                  <c:v>-8.1</c:v>
                </c:pt>
                <c:pt idx="20">
                  <c:v>-8</c:v>
                </c:pt>
                <c:pt idx="21">
                  <c:v>-7.9</c:v>
                </c:pt>
                <c:pt idx="22">
                  <c:v>-7.8</c:v>
                </c:pt>
                <c:pt idx="23">
                  <c:v>-7.6999999999999993</c:v>
                </c:pt>
                <c:pt idx="24">
                  <c:v>-7.6</c:v>
                </c:pt>
                <c:pt idx="25">
                  <c:v>-7.5</c:v>
                </c:pt>
                <c:pt idx="26">
                  <c:v>-7.4</c:v>
                </c:pt>
                <c:pt idx="27">
                  <c:v>-7.3</c:v>
                </c:pt>
                <c:pt idx="28">
                  <c:v>-7.1999999999999993</c:v>
                </c:pt>
                <c:pt idx="29">
                  <c:v>-7.1</c:v>
                </c:pt>
                <c:pt idx="30">
                  <c:v>-7</c:v>
                </c:pt>
                <c:pt idx="31">
                  <c:v>-6.9</c:v>
                </c:pt>
                <c:pt idx="32">
                  <c:v>-6.8</c:v>
                </c:pt>
                <c:pt idx="33">
                  <c:v>-6.6999999999999993</c:v>
                </c:pt>
                <c:pt idx="34">
                  <c:v>-6.6</c:v>
                </c:pt>
                <c:pt idx="35">
                  <c:v>-6.5</c:v>
                </c:pt>
                <c:pt idx="36">
                  <c:v>-6.4</c:v>
                </c:pt>
                <c:pt idx="37">
                  <c:v>-6.3</c:v>
                </c:pt>
                <c:pt idx="38">
                  <c:v>-6.1999999999999993</c:v>
                </c:pt>
                <c:pt idx="39">
                  <c:v>-6.1</c:v>
                </c:pt>
                <c:pt idx="40">
                  <c:v>-6</c:v>
                </c:pt>
                <c:pt idx="41">
                  <c:v>-5.8999999999999995</c:v>
                </c:pt>
                <c:pt idx="42">
                  <c:v>-5.8</c:v>
                </c:pt>
                <c:pt idx="43">
                  <c:v>-5.7</c:v>
                </c:pt>
                <c:pt idx="44">
                  <c:v>-5.6</c:v>
                </c:pt>
                <c:pt idx="45">
                  <c:v>-5.5</c:v>
                </c:pt>
                <c:pt idx="46">
                  <c:v>-5.3999999999999995</c:v>
                </c:pt>
                <c:pt idx="47">
                  <c:v>-5.3</c:v>
                </c:pt>
                <c:pt idx="48">
                  <c:v>-5.1999999999999993</c:v>
                </c:pt>
                <c:pt idx="49">
                  <c:v>-5.0999999999999996</c:v>
                </c:pt>
                <c:pt idx="50">
                  <c:v>-5</c:v>
                </c:pt>
                <c:pt idx="51">
                  <c:v>-4.8999999999999995</c:v>
                </c:pt>
                <c:pt idx="52">
                  <c:v>-4.8</c:v>
                </c:pt>
                <c:pt idx="53">
                  <c:v>-4.6999999999999993</c:v>
                </c:pt>
                <c:pt idx="54">
                  <c:v>-4.5999999999999996</c:v>
                </c:pt>
                <c:pt idx="55">
                  <c:v>-4.5</c:v>
                </c:pt>
                <c:pt idx="56">
                  <c:v>-4.3999999999999995</c:v>
                </c:pt>
                <c:pt idx="57">
                  <c:v>-4.3</c:v>
                </c:pt>
                <c:pt idx="58">
                  <c:v>-4.1999999999999993</c:v>
                </c:pt>
                <c:pt idx="59">
                  <c:v>-4.0999999999999996</c:v>
                </c:pt>
                <c:pt idx="60">
                  <c:v>-4</c:v>
                </c:pt>
                <c:pt idx="61">
                  <c:v>-3.8999999999999995</c:v>
                </c:pt>
                <c:pt idx="62">
                  <c:v>-3.8</c:v>
                </c:pt>
                <c:pt idx="63">
                  <c:v>-3.6999999999999993</c:v>
                </c:pt>
                <c:pt idx="64">
                  <c:v>-3.5999999999999996</c:v>
                </c:pt>
                <c:pt idx="65">
                  <c:v>-3.5</c:v>
                </c:pt>
                <c:pt idx="66">
                  <c:v>-3.3999999999999995</c:v>
                </c:pt>
                <c:pt idx="67">
                  <c:v>-3.3</c:v>
                </c:pt>
                <c:pt idx="68">
                  <c:v>-3.1999999999999993</c:v>
                </c:pt>
                <c:pt idx="69">
                  <c:v>-3.0999999999999996</c:v>
                </c:pt>
                <c:pt idx="70">
                  <c:v>-3</c:v>
                </c:pt>
                <c:pt idx="71">
                  <c:v>-2.8999999999999995</c:v>
                </c:pt>
                <c:pt idx="72">
                  <c:v>-2.8</c:v>
                </c:pt>
                <c:pt idx="73">
                  <c:v>-2.6999999999999993</c:v>
                </c:pt>
                <c:pt idx="74">
                  <c:v>-2.5999999999999996</c:v>
                </c:pt>
                <c:pt idx="75">
                  <c:v>-2.5</c:v>
                </c:pt>
                <c:pt idx="76">
                  <c:v>-2.3999999999999995</c:v>
                </c:pt>
                <c:pt idx="77">
                  <c:v>-2.2999999999999998</c:v>
                </c:pt>
                <c:pt idx="78">
                  <c:v>-2.1999999999999993</c:v>
                </c:pt>
                <c:pt idx="79">
                  <c:v>-2.0999999999999996</c:v>
                </c:pt>
                <c:pt idx="80">
                  <c:v>-2</c:v>
                </c:pt>
                <c:pt idx="81">
                  <c:v>-1.9000000000000004</c:v>
                </c:pt>
                <c:pt idx="82">
                  <c:v>-1.7999999999999989</c:v>
                </c:pt>
                <c:pt idx="83">
                  <c:v>-1.6999999999999993</c:v>
                </c:pt>
                <c:pt idx="84">
                  <c:v>-1.5999999999999996</c:v>
                </c:pt>
                <c:pt idx="85">
                  <c:v>-1.5</c:v>
                </c:pt>
                <c:pt idx="86">
                  <c:v>-1.4000000000000004</c:v>
                </c:pt>
                <c:pt idx="87">
                  <c:v>-1.2999999999999989</c:v>
                </c:pt>
                <c:pt idx="88">
                  <c:v>-1.1999999999999993</c:v>
                </c:pt>
                <c:pt idx="89">
                  <c:v>-1.0999999999999996</c:v>
                </c:pt>
                <c:pt idx="90">
                  <c:v>-1</c:v>
                </c:pt>
                <c:pt idx="91">
                  <c:v>-0.90000000000000036</c:v>
                </c:pt>
                <c:pt idx="92">
                  <c:v>-0.79999999999999893</c:v>
                </c:pt>
                <c:pt idx="93">
                  <c:v>-0.69999999999999929</c:v>
                </c:pt>
                <c:pt idx="94">
                  <c:v>-0.59999999999999964</c:v>
                </c:pt>
                <c:pt idx="95">
                  <c:v>-0.5</c:v>
                </c:pt>
                <c:pt idx="96">
                  <c:v>-0.39999999999999858</c:v>
                </c:pt>
                <c:pt idx="97">
                  <c:v>-0.29999999999999893</c:v>
                </c:pt>
                <c:pt idx="98">
                  <c:v>-0.19999999999999929</c:v>
                </c:pt>
                <c:pt idx="99">
                  <c:v>-9.9999999999999645E-2</c:v>
                </c:pt>
                <c:pt idx="100">
                  <c:v>0</c:v>
                </c:pt>
                <c:pt idx="101">
                  <c:v>0.10000000000000142</c:v>
                </c:pt>
                <c:pt idx="102">
                  <c:v>0.20000000000000107</c:v>
                </c:pt>
                <c:pt idx="103">
                  <c:v>0.30000000000000071</c:v>
                </c:pt>
                <c:pt idx="104">
                  <c:v>0.40000000000000036</c:v>
                </c:pt>
                <c:pt idx="105">
                  <c:v>0.5</c:v>
                </c:pt>
                <c:pt idx="106">
                  <c:v>0.60000000000000142</c:v>
                </c:pt>
                <c:pt idx="107">
                  <c:v>0.70000000000000107</c:v>
                </c:pt>
                <c:pt idx="108">
                  <c:v>0.80000000000000071</c:v>
                </c:pt>
                <c:pt idx="109">
                  <c:v>0.90000000000000036</c:v>
                </c:pt>
                <c:pt idx="110">
                  <c:v>1</c:v>
                </c:pt>
                <c:pt idx="111">
                  <c:v>1.1000000000000014</c:v>
                </c:pt>
                <c:pt idx="112">
                  <c:v>1.2000000000000011</c:v>
                </c:pt>
                <c:pt idx="113">
                  <c:v>1.3000000000000007</c:v>
                </c:pt>
                <c:pt idx="114">
                  <c:v>1.4000000000000004</c:v>
                </c:pt>
                <c:pt idx="115">
                  <c:v>1.5</c:v>
                </c:pt>
                <c:pt idx="116">
                  <c:v>1.6000000000000014</c:v>
                </c:pt>
                <c:pt idx="117">
                  <c:v>1.7000000000000011</c:v>
                </c:pt>
                <c:pt idx="118">
                  <c:v>1.8000000000000007</c:v>
                </c:pt>
                <c:pt idx="119">
                  <c:v>1.9000000000000004</c:v>
                </c:pt>
                <c:pt idx="120">
                  <c:v>2</c:v>
                </c:pt>
                <c:pt idx="121">
                  <c:v>2.1000000000000014</c:v>
                </c:pt>
                <c:pt idx="122">
                  <c:v>2.2000000000000011</c:v>
                </c:pt>
                <c:pt idx="123">
                  <c:v>2.3000000000000007</c:v>
                </c:pt>
                <c:pt idx="124">
                  <c:v>2.4000000000000004</c:v>
                </c:pt>
                <c:pt idx="125">
                  <c:v>2.5</c:v>
                </c:pt>
                <c:pt idx="126">
                  <c:v>2.6000000000000014</c:v>
                </c:pt>
                <c:pt idx="127">
                  <c:v>2.7000000000000011</c:v>
                </c:pt>
                <c:pt idx="128">
                  <c:v>2.8000000000000007</c:v>
                </c:pt>
                <c:pt idx="129">
                  <c:v>2.9000000000000004</c:v>
                </c:pt>
                <c:pt idx="130">
                  <c:v>3</c:v>
                </c:pt>
                <c:pt idx="131">
                  <c:v>3.1000000000000014</c:v>
                </c:pt>
                <c:pt idx="132">
                  <c:v>3.2000000000000011</c:v>
                </c:pt>
                <c:pt idx="133">
                  <c:v>3.3000000000000007</c:v>
                </c:pt>
                <c:pt idx="134">
                  <c:v>3.4000000000000004</c:v>
                </c:pt>
                <c:pt idx="135">
                  <c:v>3.5</c:v>
                </c:pt>
                <c:pt idx="136">
                  <c:v>3.6000000000000014</c:v>
                </c:pt>
                <c:pt idx="137">
                  <c:v>3.7000000000000011</c:v>
                </c:pt>
                <c:pt idx="138">
                  <c:v>3.8000000000000007</c:v>
                </c:pt>
                <c:pt idx="139">
                  <c:v>3.9000000000000004</c:v>
                </c:pt>
                <c:pt idx="140">
                  <c:v>4</c:v>
                </c:pt>
                <c:pt idx="141">
                  <c:v>4.1000000000000014</c:v>
                </c:pt>
                <c:pt idx="142">
                  <c:v>4.2000000000000011</c:v>
                </c:pt>
                <c:pt idx="143">
                  <c:v>4.3000000000000007</c:v>
                </c:pt>
                <c:pt idx="144">
                  <c:v>4.4000000000000004</c:v>
                </c:pt>
                <c:pt idx="145">
                  <c:v>4.5</c:v>
                </c:pt>
                <c:pt idx="146">
                  <c:v>4.6000000000000014</c:v>
                </c:pt>
                <c:pt idx="147">
                  <c:v>4.7000000000000011</c:v>
                </c:pt>
                <c:pt idx="148">
                  <c:v>4.8000000000000007</c:v>
                </c:pt>
                <c:pt idx="149">
                  <c:v>4.9000000000000004</c:v>
                </c:pt>
                <c:pt idx="150">
                  <c:v>5</c:v>
                </c:pt>
                <c:pt idx="151">
                  <c:v>5.1000000000000014</c:v>
                </c:pt>
                <c:pt idx="152">
                  <c:v>5.2000000000000011</c:v>
                </c:pt>
                <c:pt idx="153">
                  <c:v>5.3000000000000007</c:v>
                </c:pt>
                <c:pt idx="154">
                  <c:v>5.4</c:v>
                </c:pt>
                <c:pt idx="155">
                  <c:v>5.5</c:v>
                </c:pt>
                <c:pt idx="156">
                  <c:v>5.6000000000000014</c:v>
                </c:pt>
                <c:pt idx="157">
                  <c:v>5.7000000000000011</c:v>
                </c:pt>
                <c:pt idx="158">
                  <c:v>5.8000000000000007</c:v>
                </c:pt>
                <c:pt idx="159">
                  <c:v>5.9</c:v>
                </c:pt>
                <c:pt idx="160">
                  <c:v>6</c:v>
                </c:pt>
                <c:pt idx="161">
                  <c:v>6.1000000000000014</c:v>
                </c:pt>
                <c:pt idx="162">
                  <c:v>6.1999999999999993</c:v>
                </c:pt>
                <c:pt idx="163">
                  <c:v>6.3000000000000007</c:v>
                </c:pt>
                <c:pt idx="164">
                  <c:v>6.4000000000000021</c:v>
                </c:pt>
                <c:pt idx="165">
                  <c:v>6.5</c:v>
                </c:pt>
                <c:pt idx="166">
                  <c:v>6.6000000000000014</c:v>
                </c:pt>
                <c:pt idx="167">
                  <c:v>6.6999999999999993</c:v>
                </c:pt>
                <c:pt idx="168">
                  <c:v>6.8000000000000007</c:v>
                </c:pt>
                <c:pt idx="169">
                  <c:v>6.9000000000000021</c:v>
                </c:pt>
                <c:pt idx="170">
                  <c:v>7</c:v>
                </c:pt>
                <c:pt idx="171">
                  <c:v>7.1000000000000014</c:v>
                </c:pt>
                <c:pt idx="172">
                  <c:v>7.1999999999999993</c:v>
                </c:pt>
                <c:pt idx="173">
                  <c:v>7.3000000000000007</c:v>
                </c:pt>
                <c:pt idx="174">
                  <c:v>7.4000000000000021</c:v>
                </c:pt>
                <c:pt idx="175">
                  <c:v>7.5</c:v>
                </c:pt>
                <c:pt idx="176">
                  <c:v>7.6000000000000014</c:v>
                </c:pt>
                <c:pt idx="177">
                  <c:v>7.6999999999999993</c:v>
                </c:pt>
                <c:pt idx="178">
                  <c:v>7.8000000000000007</c:v>
                </c:pt>
                <c:pt idx="179">
                  <c:v>7.9000000000000021</c:v>
                </c:pt>
                <c:pt idx="180">
                  <c:v>8</c:v>
                </c:pt>
                <c:pt idx="181">
                  <c:v>8.1000000000000014</c:v>
                </c:pt>
                <c:pt idx="182">
                  <c:v>8.1999999999999993</c:v>
                </c:pt>
                <c:pt idx="183">
                  <c:v>8.3000000000000007</c:v>
                </c:pt>
                <c:pt idx="184">
                  <c:v>8.4000000000000021</c:v>
                </c:pt>
                <c:pt idx="185">
                  <c:v>8.5</c:v>
                </c:pt>
                <c:pt idx="186">
                  <c:v>8.6000000000000014</c:v>
                </c:pt>
                <c:pt idx="187">
                  <c:v>8.6999999999999993</c:v>
                </c:pt>
                <c:pt idx="188">
                  <c:v>8.8000000000000007</c:v>
                </c:pt>
                <c:pt idx="189">
                  <c:v>8.9000000000000021</c:v>
                </c:pt>
                <c:pt idx="190">
                  <c:v>9</c:v>
                </c:pt>
                <c:pt idx="191">
                  <c:v>9.1000000000000014</c:v>
                </c:pt>
                <c:pt idx="192">
                  <c:v>9.2000000000000028</c:v>
                </c:pt>
                <c:pt idx="193">
                  <c:v>9.3000000000000007</c:v>
                </c:pt>
                <c:pt idx="194">
                  <c:v>9.4000000000000021</c:v>
                </c:pt>
                <c:pt idx="195">
                  <c:v>9.5</c:v>
                </c:pt>
                <c:pt idx="196">
                  <c:v>9.6000000000000014</c:v>
                </c:pt>
                <c:pt idx="197">
                  <c:v>9.7000000000000028</c:v>
                </c:pt>
                <c:pt idx="198">
                  <c:v>9.8000000000000007</c:v>
                </c:pt>
                <c:pt idx="199">
                  <c:v>9.9000000000000021</c:v>
                </c:pt>
                <c:pt idx="200">
                  <c:v>10</c:v>
                </c:pt>
              </c:numCache>
            </c:numRef>
          </c:xVal>
          <c:yVal>
            <c:numRef>
              <c:f>'one point'!$AU$10:$AU$211</c:f>
              <c:numCache>
                <c:formatCode>General</c:formatCode>
                <c:ptCount val="202"/>
                <c:pt idx="0">
                  <c:v>0</c:v>
                </c:pt>
                <c:pt idx="1">
                  <c:v>1.4106735979665865</c:v>
                </c:pt>
                <c:pt idx="2">
                  <c:v>1.9899748742132348</c:v>
                </c:pt>
                <c:pt idx="3">
                  <c:v>2.4310491562286458</c:v>
                </c:pt>
                <c:pt idx="4">
                  <c:v>2.8000000000000007</c:v>
                </c:pt>
                <c:pt idx="5">
                  <c:v>3.1224989991991992</c:v>
                </c:pt>
                <c:pt idx="6">
                  <c:v>3.4117444218463944</c:v>
                </c:pt>
                <c:pt idx="7">
                  <c:v>3.6755951898978201</c:v>
                </c:pt>
                <c:pt idx="8">
                  <c:v>3.9191835884530866</c:v>
                </c:pt>
                <c:pt idx="9">
                  <c:v>4.1460824883255771</c:v>
                </c:pt>
                <c:pt idx="10">
                  <c:v>4.358898943540674</c:v>
                </c:pt>
                <c:pt idx="11">
                  <c:v>4.5596052460711984</c:v>
                </c:pt>
                <c:pt idx="12">
                  <c:v>4.7497368348151658</c:v>
                </c:pt>
                <c:pt idx="13">
                  <c:v>4.9305172142484217</c:v>
                </c:pt>
                <c:pt idx="14">
                  <c:v>5.1029403288692299</c:v>
                </c:pt>
                <c:pt idx="15">
                  <c:v>5.2678268764263692</c:v>
                </c:pt>
                <c:pt idx="16">
                  <c:v>5.4258639865002145</c:v>
                </c:pt>
                <c:pt idx="17">
                  <c:v>5.5776339069537348</c:v>
                </c:pt>
                <c:pt idx="18">
                  <c:v>5.7236352085016744</c:v>
                </c:pt>
                <c:pt idx="19">
                  <c:v>5.8642987645583</c:v>
                </c:pt>
                <c:pt idx="20">
                  <c:v>6</c:v>
                </c:pt>
                <c:pt idx="21">
                  <c:v>6.1310684223877319</c:v>
                </c:pt>
                <c:pt idx="22">
                  <c:v>6.2577951388648065</c:v>
                </c:pt>
                <c:pt idx="23">
                  <c:v>6.3804388563797092</c:v>
                </c:pt>
                <c:pt idx="24">
                  <c:v>6.4992307237087683</c:v>
                </c:pt>
                <c:pt idx="25">
                  <c:v>6.6143782776614763</c:v>
                </c:pt>
                <c:pt idx="26">
                  <c:v>6.726068688320094</c:v>
                </c:pt>
                <c:pt idx="27">
                  <c:v>6.8344714499367107</c:v>
                </c:pt>
                <c:pt idx="28">
                  <c:v>6.9397406291589894</c:v>
                </c:pt>
                <c:pt idx="29">
                  <c:v>7.0420167565833021</c:v>
                </c:pt>
                <c:pt idx="30">
                  <c:v>7.1414284285428504</c:v>
                </c:pt>
                <c:pt idx="31">
                  <c:v>7.2380936716790281</c:v>
                </c:pt>
                <c:pt idx="32">
                  <c:v>7.3321211119293448</c:v>
                </c:pt>
                <c:pt idx="33">
                  <c:v>7.4236109811869859</c:v>
                </c:pt>
                <c:pt idx="34">
                  <c:v>7.5126559883971797</c:v>
                </c:pt>
                <c:pt idx="35">
                  <c:v>7.5993420767853319</c:v>
                </c:pt>
                <c:pt idx="36">
                  <c:v>7.6837490849194179</c:v>
                </c:pt>
                <c:pt idx="37">
                  <c:v>7.7659513261415691</c:v>
                </c:pt>
                <c:pt idx="38">
                  <c:v>7.8460180983732126</c:v>
                </c:pt>
                <c:pt idx="39">
                  <c:v>7.9240141342630128</c:v>
                </c:pt>
                <c:pt idx="40">
                  <c:v>8</c:v>
                </c:pt>
                <c:pt idx="41">
                  <c:v>8.0740324497737799</c:v>
                </c:pt>
                <c:pt idx="42">
                  <c:v>8.1461647417665208</c:v>
                </c:pt>
                <c:pt idx="43">
                  <c:v>8.2164469206585871</c:v>
                </c:pt>
                <c:pt idx="44">
                  <c:v>8.2849260708831913</c:v>
                </c:pt>
                <c:pt idx="45">
                  <c:v>8.3516465442450336</c:v>
                </c:pt>
                <c:pt idx="46">
                  <c:v>8.4166501650003251</c:v>
                </c:pt>
                <c:pt idx="47">
                  <c:v>8.4799764150615413</c:v>
                </c:pt>
                <c:pt idx="48">
                  <c:v>8.541662601625049</c:v>
                </c:pt>
                <c:pt idx="49">
                  <c:v>8.6017440092111563</c:v>
                </c:pt>
                <c:pt idx="50">
                  <c:v>8.6602540378443873</c:v>
                </c:pt>
                <c:pt idx="51">
                  <c:v>8.7172243288790039</c:v>
                </c:pt>
                <c:pt idx="52">
                  <c:v>8.7726848797845243</c:v>
                </c:pt>
                <c:pt idx="53">
                  <c:v>8.8266641490429443</c:v>
                </c:pt>
                <c:pt idx="54">
                  <c:v>8.8791891521692463</c:v>
                </c:pt>
                <c:pt idx="55">
                  <c:v>8.9302855497458751</c:v>
                </c:pt>
                <c:pt idx="56">
                  <c:v>8.9799777282574595</c:v>
                </c:pt>
                <c:pt idx="57">
                  <c:v>9.0282888744213317</c:v>
                </c:pt>
                <c:pt idx="58">
                  <c:v>9.0752410436307436</c:v>
                </c:pt>
                <c:pt idx="59">
                  <c:v>9.1208552230588555</c:v>
                </c:pt>
                <c:pt idx="60">
                  <c:v>9.1651513899116797</c:v>
                </c:pt>
                <c:pt idx="61">
                  <c:v>9.2081485652654411</c:v>
                </c:pt>
                <c:pt idx="62">
                  <c:v>9.2498648638777414</c:v>
                </c:pt>
                <c:pt idx="63">
                  <c:v>9.2903175403212135</c:v>
                </c:pt>
                <c:pt idx="64">
                  <c:v>9.3295230317524815</c:v>
                </c:pt>
                <c:pt idx="65">
                  <c:v>9.3674969975975966</c:v>
                </c:pt>
                <c:pt idx="66">
                  <c:v>9.404254356406998</c:v>
                </c:pt>
                <c:pt idx="67">
                  <c:v>9.4398093201081128</c:v>
                </c:pt>
                <c:pt idx="68">
                  <c:v>9.4741754258616098</c:v>
                </c:pt>
                <c:pt idx="69">
                  <c:v>9.5073655657074632</c:v>
                </c:pt>
                <c:pt idx="70">
                  <c:v>9.5393920141694561</c:v>
                </c:pt>
                <c:pt idx="71">
                  <c:v>9.5702664539708611</c:v>
                </c:pt>
                <c:pt idx="72">
                  <c:v>9.6</c:v>
                </c:pt>
                <c:pt idx="73">
                  <c:v>9.6286032216516233</c:v>
                </c:pt>
                <c:pt idx="74">
                  <c:v>9.6560861636586495</c:v>
                </c:pt>
                <c:pt idx="75">
                  <c:v>9.6824583655185421</c:v>
                </c:pt>
                <c:pt idx="76">
                  <c:v>9.7077288796092773</c:v>
                </c:pt>
                <c:pt idx="77">
                  <c:v>9.7319062880814879</c:v>
                </c:pt>
                <c:pt idx="78">
                  <c:v>9.7549987186057585</c:v>
                </c:pt>
                <c:pt idx="79">
                  <c:v>9.7770138590471483</c:v>
                </c:pt>
                <c:pt idx="80">
                  <c:v>9.7979589711327115</c:v>
                </c:pt>
                <c:pt idx="81">
                  <c:v>9.8178409031721436</c:v>
                </c:pt>
                <c:pt idx="82">
                  <c:v>9.836666101886351</c:v>
                </c:pt>
                <c:pt idx="83">
                  <c:v>9.8544406233941046</c:v>
                </c:pt>
                <c:pt idx="84">
                  <c:v>9.8711701434024519</c:v>
                </c:pt>
                <c:pt idx="85">
                  <c:v>9.8868599666425947</c:v>
                </c:pt>
                <c:pt idx="86">
                  <c:v>9.9015150355892505</c:v>
                </c:pt>
                <c:pt idx="87">
                  <c:v>9.9151399384980952</c:v>
                </c:pt>
                <c:pt idx="88">
                  <c:v>9.9277389167926859</c:v>
                </c:pt>
                <c:pt idx="89">
                  <c:v>9.9393158718294092</c:v>
                </c:pt>
                <c:pt idx="90">
                  <c:v>9.9498743710661994</c:v>
                </c:pt>
                <c:pt idx="91">
                  <c:v>9.959417653658269</c:v>
                </c:pt>
                <c:pt idx="92">
                  <c:v>9.9679486355016902</c:v>
                </c:pt>
                <c:pt idx="93">
                  <c:v>9.975469913743412</c:v>
                </c:pt>
                <c:pt idx="94">
                  <c:v>9.9819837707742245</c:v>
                </c:pt>
                <c:pt idx="95">
                  <c:v>9.9874921777190888</c:v>
                </c:pt>
                <c:pt idx="96">
                  <c:v>9.9919967974374373</c:v>
                </c:pt>
                <c:pt idx="97">
                  <c:v>9.9954989870441189</c:v>
                </c:pt>
                <c:pt idx="98">
                  <c:v>9.9979997999599899</c:v>
                </c:pt>
                <c:pt idx="99">
                  <c:v>9.9994999874993749</c:v>
                </c:pt>
                <c:pt idx="100">
                  <c:v>10</c:v>
                </c:pt>
                <c:pt idx="101">
                  <c:v>9.9994999874993749</c:v>
                </c:pt>
                <c:pt idx="102">
                  <c:v>9.9979997999599899</c:v>
                </c:pt>
                <c:pt idx="103">
                  <c:v>9.9954989870441189</c:v>
                </c:pt>
                <c:pt idx="104">
                  <c:v>9.9919967974374373</c:v>
                </c:pt>
                <c:pt idx="105">
                  <c:v>9.9874921777190888</c:v>
                </c:pt>
                <c:pt idx="106">
                  <c:v>9.9819837707742245</c:v>
                </c:pt>
                <c:pt idx="107">
                  <c:v>9.975469913743412</c:v>
                </c:pt>
                <c:pt idx="108">
                  <c:v>9.9679486355016902</c:v>
                </c:pt>
                <c:pt idx="109">
                  <c:v>9.959417653658269</c:v>
                </c:pt>
                <c:pt idx="110">
                  <c:v>9.9498743710661994</c:v>
                </c:pt>
                <c:pt idx="111">
                  <c:v>9.9393158718294092</c:v>
                </c:pt>
                <c:pt idx="112">
                  <c:v>9.9277389167926859</c:v>
                </c:pt>
                <c:pt idx="113">
                  <c:v>9.9151399384980952</c:v>
                </c:pt>
                <c:pt idx="114">
                  <c:v>9.9015150355892505</c:v>
                </c:pt>
                <c:pt idx="115">
                  <c:v>9.8868599666425947</c:v>
                </c:pt>
                <c:pt idx="116">
                  <c:v>9.8711701434024519</c:v>
                </c:pt>
                <c:pt idx="117">
                  <c:v>9.8544406233941046</c:v>
                </c:pt>
                <c:pt idx="118">
                  <c:v>9.8366661018863493</c:v>
                </c:pt>
                <c:pt idx="119">
                  <c:v>9.8178409031721436</c:v>
                </c:pt>
                <c:pt idx="120">
                  <c:v>9.7979589711327115</c:v>
                </c:pt>
                <c:pt idx="121">
                  <c:v>9.7770138590471465</c:v>
                </c:pt>
                <c:pt idx="122">
                  <c:v>9.7549987186057585</c:v>
                </c:pt>
                <c:pt idx="123">
                  <c:v>9.7319062880814879</c:v>
                </c:pt>
                <c:pt idx="124">
                  <c:v>9.7077288796092773</c:v>
                </c:pt>
                <c:pt idx="125">
                  <c:v>9.6824583655185421</c:v>
                </c:pt>
                <c:pt idx="126">
                  <c:v>9.6560861636586477</c:v>
                </c:pt>
                <c:pt idx="127">
                  <c:v>9.6286032216516215</c:v>
                </c:pt>
                <c:pt idx="128">
                  <c:v>9.6</c:v>
                </c:pt>
                <c:pt idx="129">
                  <c:v>9.5702664539708611</c:v>
                </c:pt>
                <c:pt idx="130">
                  <c:v>9.5393920141694561</c:v>
                </c:pt>
                <c:pt idx="131">
                  <c:v>9.5073655657074632</c:v>
                </c:pt>
                <c:pt idx="132">
                  <c:v>9.474175425861608</c:v>
                </c:pt>
                <c:pt idx="133">
                  <c:v>9.4398093201081128</c:v>
                </c:pt>
                <c:pt idx="134">
                  <c:v>9.404254356406998</c:v>
                </c:pt>
                <c:pt idx="135">
                  <c:v>9.3674969975975966</c:v>
                </c:pt>
                <c:pt idx="136">
                  <c:v>9.3295230317524798</c:v>
                </c:pt>
                <c:pt idx="137">
                  <c:v>9.2903175403212135</c:v>
                </c:pt>
                <c:pt idx="138">
                  <c:v>9.2498648638777414</c:v>
                </c:pt>
                <c:pt idx="139">
                  <c:v>9.2081485652654411</c:v>
                </c:pt>
                <c:pt idx="140">
                  <c:v>9.1651513899116797</c:v>
                </c:pt>
                <c:pt idx="141">
                  <c:v>9.1208552230588538</c:v>
                </c:pt>
                <c:pt idx="142">
                  <c:v>9.0752410436307418</c:v>
                </c:pt>
                <c:pt idx="143">
                  <c:v>9.0282888744213317</c:v>
                </c:pt>
                <c:pt idx="144">
                  <c:v>8.9799777282574595</c:v>
                </c:pt>
                <c:pt idx="145">
                  <c:v>8.9302855497458751</c:v>
                </c:pt>
                <c:pt idx="146">
                  <c:v>8.8791891521692445</c:v>
                </c:pt>
                <c:pt idx="147">
                  <c:v>8.8266641490429443</c:v>
                </c:pt>
                <c:pt idx="148">
                  <c:v>8.7726848797845225</c:v>
                </c:pt>
                <c:pt idx="149">
                  <c:v>8.7172243288790039</c:v>
                </c:pt>
                <c:pt idx="150">
                  <c:v>8.6602540378443873</c:v>
                </c:pt>
                <c:pt idx="151">
                  <c:v>8.6017440092111546</c:v>
                </c:pt>
                <c:pt idx="152">
                  <c:v>8.541662601625049</c:v>
                </c:pt>
                <c:pt idx="153">
                  <c:v>8.4799764150615413</c:v>
                </c:pt>
                <c:pt idx="154">
                  <c:v>8.4166501650003251</c:v>
                </c:pt>
                <c:pt idx="155">
                  <c:v>8.3516465442450336</c:v>
                </c:pt>
                <c:pt idx="156">
                  <c:v>8.2849260708831913</c:v>
                </c:pt>
                <c:pt idx="157">
                  <c:v>8.2164469206585871</c:v>
                </c:pt>
                <c:pt idx="158">
                  <c:v>8.1461647417665191</c:v>
                </c:pt>
                <c:pt idx="159">
                  <c:v>8.0740324497737799</c:v>
                </c:pt>
                <c:pt idx="160">
                  <c:v>8</c:v>
                </c:pt>
                <c:pt idx="161">
                  <c:v>7.9240141342630119</c:v>
                </c:pt>
                <c:pt idx="162">
                  <c:v>7.8460180983732126</c:v>
                </c:pt>
                <c:pt idx="163">
                  <c:v>7.7659513261415682</c:v>
                </c:pt>
                <c:pt idx="164">
                  <c:v>7.6837490849194161</c:v>
                </c:pt>
                <c:pt idx="165">
                  <c:v>7.5993420767853319</c:v>
                </c:pt>
                <c:pt idx="166">
                  <c:v>7.512655988397178</c:v>
                </c:pt>
                <c:pt idx="167">
                  <c:v>7.4236109811869859</c:v>
                </c:pt>
                <c:pt idx="168">
                  <c:v>7.332121111929343</c:v>
                </c:pt>
                <c:pt idx="169">
                  <c:v>7.2380936716790263</c:v>
                </c:pt>
                <c:pt idx="170">
                  <c:v>7.1414284285428504</c:v>
                </c:pt>
                <c:pt idx="171">
                  <c:v>7.0420167565833003</c:v>
                </c:pt>
                <c:pt idx="172">
                  <c:v>6.9397406291589894</c:v>
                </c:pt>
                <c:pt idx="173">
                  <c:v>6.834471449936709</c:v>
                </c:pt>
                <c:pt idx="174">
                  <c:v>6.7260686883200922</c:v>
                </c:pt>
                <c:pt idx="175">
                  <c:v>6.6143782776614763</c:v>
                </c:pt>
                <c:pt idx="176">
                  <c:v>6.4992307237087665</c:v>
                </c:pt>
                <c:pt idx="177">
                  <c:v>6.3804388563797092</c:v>
                </c:pt>
                <c:pt idx="178">
                  <c:v>6.2577951388648057</c:v>
                </c:pt>
                <c:pt idx="179">
                  <c:v>6.1310684223877301</c:v>
                </c:pt>
                <c:pt idx="180">
                  <c:v>6</c:v>
                </c:pt>
                <c:pt idx="181">
                  <c:v>5.8642987645582973</c:v>
                </c:pt>
                <c:pt idx="182">
                  <c:v>5.7236352085016744</c:v>
                </c:pt>
                <c:pt idx="183">
                  <c:v>5.5776339069537348</c:v>
                </c:pt>
                <c:pt idx="184">
                  <c:v>5.4258639865002118</c:v>
                </c:pt>
                <c:pt idx="185">
                  <c:v>5.2678268764263692</c:v>
                </c:pt>
                <c:pt idx="186">
                  <c:v>5.1029403288692272</c:v>
                </c:pt>
                <c:pt idx="187">
                  <c:v>4.9305172142484217</c:v>
                </c:pt>
                <c:pt idx="188">
                  <c:v>4.7497368348151658</c:v>
                </c:pt>
                <c:pt idx="189">
                  <c:v>4.5596052460711949</c:v>
                </c:pt>
                <c:pt idx="190">
                  <c:v>4.358898943540674</c:v>
                </c:pt>
                <c:pt idx="191">
                  <c:v>4.1460824883255727</c:v>
                </c:pt>
                <c:pt idx="192">
                  <c:v>3.9191835884530777</c:v>
                </c:pt>
                <c:pt idx="193">
                  <c:v>3.6755951898978201</c:v>
                </c:pt>
                <c:pt idx="194">
                  <c:v>3.4117444218463899</c:v>
                </c:pt>
                <c:pt idx="195">
                  <c:v>3.1224989991991992</c:v>
                </c:pt>
                <c:pt idx="196">
                  <c:v>2.7999999999999954</c:v>
                </c:pt>
                <c:pt idx="197">
                  <c:v>2.4310491562286312</c:v>
                </c:pt>
                <c:pt idx="198">
                  <c:v>1.9899748742132348</c:v>
                </c:pt>
                <c:pt idx="199">
                  <c:v>1.4106735979665714</c:v>
                </c:pt>
                <c:pt idx="200">
                  <c:v>0</c:v>
                </c:pt>
              </c:numCache>
            </c:numRef>
          </c:yVal>
          <c:smooth val="1"/>
        </c:ser>
        <c:ser>
          <c:idx val="1"/>
          <c:order val="1"/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'one point'!$AT$10:$AT$211</c:f>
              <c:numCache>
                <c:formatCode>General</c:formatCode>
                <c:ptCount val="202"/>
                <c:pt idx="0">
                  <c:v>-10</c:v>
                </c:pt>
                <c:pt idx="1">
                  <c:v>-9.9</c:v>
                </c:pt>
                <c:pt idx="2">
                  <c:v>-9.8000000000000007</c:v>
                </c:pt>
                <c:pt idx="3">
                  <c:v>-9.6999999999999993</c:v>
                </c:pt>
                <c:pt idx="4">
                  <c:v>-9.6</c:v>
                </c:pt>
                <c:pt idx="5">
                  <c:v>-9.5</c:v>
                </c:pt>
                <c:pt idx="6">
                  <c:v>-9.4</c:v>
                </c:pt>
                <c:pt idx="7">
                  <c:v>-9.3000000000000007</c:v>
                </c:pt>
                <c:pt idx="8">
                  <c:v>-9.1999999999999993</c:v>
                </c:pt>
                <c:pt idx="9">
                  <c:v>-9.1</c:v>
                </c:pt>
                <c:pt idx="10">
                  <c:v>-9</c:v>
                </c:pt>
                <c:pt idx="11">
                  <c:v>-8.9</c:v>
                </c:pt>
                <c:pt idx="12">
                  <c:v>-8.8000000000000007</c:v>
                </c:pt>
                <c:pt idx="13">
                  <c:v>-8.6999999999999993</c:v>
                </c:pt>
                <c:pt idx="14">
                  <c:v>-8.6</c:v>
                </c:pt>
                <c:pt idx="15">
                  <c:v>-8.5</c:v>
                </c:pt>
                <c:pt idx="16">
                  <c:v>-8.4</c:v>
                </c:pt>
                <c:pt idx="17">
                  <c:v>-8.3000000000000007</c:v>
                </c:pt>
                <c:pt idx="18">
                  <c:v>-8.1999999999999993</c:v>
                </c:pt>
                <c:pt idx="19">
                  <c:v>-8.1</c:v>
                </c:pt>
                <c:pt idx="20">
                  <c:v>-8</c:v>
                </c:pt>
                <c:pt idx="21">
                  <c:v>-7.9</c:v>
                </c:pt>
                <c:pt idx="22">
                  <c:v>-7.8</c:v>
                </c:pt>
                <c:pt idx="23">
                  <c:v>-7.6999999999999993</c:v>
                </c:pt>
                <c:pt idx="24">
                  <c:v>-7.6</c:v>
                </c:pt>
                <c:pt idx="25">
                  <c:v>-7.5</c:v>
                </c:pt>
                <c:pt idx="26">
                  <c:v>-7.4</c:v>
                </c:pt>
                <c:pt idx="27">
                  <c:v>-7.3</c:v>
                </c:pt>
                <c:pt idx="28">
                  <c:v>-7.1999999999999993</c:v>
                </c:pt>
                <c:pt idx="29">
                  <c:v>-7.1</c:v>
                </c:pt>
                <c:pt idx="30">
                  <c:v>-7</c:v>
                </c:pt>
                <c:pt idx="31">
                  <c:v>-6.9</c:v>
                </c:pt>
                <c:pt idx="32">
                  <c:v>-6.8</c:v>
                </c:pt>
                <c:pt idx="33">
                  <c:v>-6.6999999999999993</c:v>
                </c:pt>
                <c:pt idx="34">
                  <c:v>-6.6</c:v>
                </c:pt>
                <c:pt idx="35">
                  <c:v>-6.5</c:v>
                </c:pt>
                <c:pt idx="36">
                  <c:v>-6.4</c:v>
                </c:pt>
                <c:pt idx="37">
                  <c:v>-6.3</c:v>
                </c:pt>
                <c:pt idx="38">
                  <c:v>-6.1999999999999993</c:v>
                </c:pt>
                <c:pt idx="39">
                  <c:v>-6.1</c:v>
                </c:pt>
                <c:pt idx="40">
                  <c:v>-6</c:v>
                </c:pt>
                <c:pt idx="41">
                  <c:v>-5.8999999999999995</c:v>
                </c:pt>
                <c:pt idx="42">
                  <c:v>-5.8</c:v>
                </c:pt>
                <c:pt idx="43">
                  <c:v>-5.7</c:v>
                </c:pt>
                <c:pt idx="44">
                  <c:v>-5.6</c:v>
                </c:pt>
                <c:pt idx="45">
                  <c:v>-5.5</c:v>
                </c:pt>
                <c:pt idx="46">
                  <c:v>-5.3999999999999995</c:v>
                </c:pt>
                <c:pt idx="47">
                  <c:v>-5.3</c:v>
                </c:pt>
                <c:pt idx="48">
                  <c:v>-5.1999999999999993</c:v>
                </c:pt>
                <c:pt idx="49">
                  <c:v>-5.0999999999999996</c:v>
                </c:pt>
                <c:pt idx="50">
                  <c:v>-5</c:v>
                </c:pt>
                <c:pt idx="51">
                  <c:v>-4.8999999999999995</c:v>
                </c:pt>
                <c:pt idx="52">
                  <c:v>-4.8</c:v>
                </c:pt>
                <c:pt idx="53">
                  <c:v>-4.6999999999999993</c:v>
                </c:pt>
                <c:pt idx="54">
                  <c:v>-4.5999999999999996</c:v>
                </c:pt>
                <c:pt idx="55">
                  <c:v>-4.5</c:v>
                </c:pt>
                <c:pt idx="56">
                  <c:v>-4.3999999999999995</c:v>
                </c:pt>
                <c:pt idx="57">
                  <c:v>-4.3</c:v>
                </c:pt>
                <c:pt idx="58">
                  <c:v>-4.1999999999999993</c:v>
                </c:pt>
                <c:pt idx="59">
                  <c:v>-4.0999999999999996</c:v>
                </c:pt>
                <c:pt idx="60">
                  <c:v>-4</c:v>
                </c:pt>
                <c:pt idx="61">
                  <c:v>-3.8999999999999995</c:v>
                </c:pt>
                <c:pt idx="62">
                  <c:v>-3.8</c:v>
                </c:pt>
                <c:pt idx="63">
                  <c:v>-3.6999999999999993</c:v>
                </c:pt>
                <c:pt idx="64">
                  <c:v>-3.5999999999999996</c:v>
                </c:pt>
                <c:pt idx="65">
                  <c:v>-3.5</c:v>
                </c:pt>
                <c:pt idx="66">
                  <c:v>-3.3999999999999995</c:v>
                </c:pt>
                <c:pt idx="67">
                  <c:v>-3.3</c:v>
                </c:pt>
                <c:pt idx="68">
                  <c:v>-3.1999999999999993</c:v>
                </c:pt>
                <c:pt idx="69">
                  <c:v>-3.0999999999999996</c:v>
                </c:pt>
                <c:pt idx="70">
                  <c:v>-3</c:v>
                </c:pt>
                <c:pt idx="71">
                  <c:v>-2.8999999999999995</c:v>
                </c:pt>
                <c:pt idx="72">
                  <c:v>-2.8</c:v>
                </c:pt>
                <c:pt idx="73">
                  <c:v>-2.6999999999999993</c:v>
                </c:pt>
                <c:pt idx="74">
                  <c:v>-2.5999999999999996</c:v>
                </c:pt>
                <c:pt idx="75">
                  <c:v>-2.5</c:v>
                </c:pt>
                <c:pt idx="76">
                  <c:v>-2.3999999999999995</c:v>
                </c:pt>
                <c:pt idx="77">
                  <c:v>-2.2999999999999998</c:v>
                </c:pt>
                <c:pt idx="78">
                  <c:v>-2.1999999999999993</c:v>
                </c:pt>
                <c:pt idx="79">
                  <c:v>-2.0999999999999996</c:v>
                </c:pt>
                <c:pt idx="80">
                  <c:v>-2</c:v>
                </c:pt>
                <c:pt idx="81">
                  <c:v>-1.9000000000000004</c:v>
                </c:pt>
                <c:pt idx="82">
                  <c:v>-1.7999999999999989</c:v>
                </c:pt>
                <c:pt idx="83">
                  <c:v>-1.6999999999999993</c:v>
                </c:pt>
                <c:pt idx="84">
                  <c:v>-1.5999999999999996</c:v>
                </c:pt>
                <c:pt idx="85">
                  <c:v>-1.5</c:v>
                </c:pt>
                <c:pt idx="86">
                  <c:v>-1.4000000000000004</c:v>
                </c:pt>
                <c:pt idx="87">
                  <c:v>-1.2999999999999989</c:v>
                </c:pt>
                <c:pt idx="88">
                  <c:v>-1.1999999999999993</c:v>
                </c:pt>
                <c:pt idx="89">
                  <c:v>-1.0999999999999996</c:v>
                </c:pt>
                <c:pt idx="90">
                  <c:v>-1</c:v>
                </c:pt>
                <c:pt idx="91">
                  <c:v>-0.90000000000000036</c:v>
                </c:pt>
                <c:pt idx="92">
                  <c:v>-0.79999999999999893</c:v>
                </c:pt>
                <c:pt idx="93">
                  <c:v>-0.69999999999999929</c:v>
                </c:pt>
                <c:pt idx="94">
                  <c:v>-0.59999999999999964</c:v>
                </c:pt>
                <c:pt idx="95">
                  <c:v>-0.5</c:v>
                </c:pt>
                <c:pt idx="96">
                  <c:v>-0.39999999999999858</c:v>
                </c:pt>
                <c:pt idx="97">
                  <c:v>-0.29999999999999893</c:v>
                </c:pt>
                <c:pt idx="98">
                  <c:v>-0.19999999999999929</c:v>
                </c:pt>
                <c:pt idx="99">
                  <c:v>-9.9999999999999645E-2</c:v>
                </c:pt>
                <c:pt idx="100">
                  <c:v>0</c:v>
                </c:pt>
                <c:pt idx="101">
                  <c:v>0.10000000000000142</c:v>
                </c:pt>
                <c:pt idx="102">
                  <c:v>0.20000000000000107</c:v>
                </c:pt>
                <c:pt idx="103">
                  <c:v>0.30000000000000071</c:v>
                </c:pt>
                <c:pt idx="104">
                  <c:v>0.40000000000000036</c:v>
                </c:pt>
                <c:pt idx="105">
                  <c:v>0.5</c:v>
                </c:pt>
                <c:pt idx="106">
                  <c:v>0.60000000000000142</c:v>
                </c:pt>
                <c:pt idx="107">
                  <c:v>0.70000000000000107</c:v>
                </c:pt>
                <c:pt idx="108">
                  <c:v>0.80000000000000071</c:v>
                </c:pt>
                <c:pt idx="109">
                  <c:v>0.90000000000000036</c:v>
                </c:pt>
                <c:pt idx="110">
                  <c:v>1</c:v>
                </c:pt>
                <c:pt idx="111">
                  <c:v>1.1000000000000014</c:v>
                </c:pt>
                <c:pt idx="112">
                  <c:v>1.2000000000000011</c:v>
                </c:pt>
                <c:pt idx="113">
                  <c:v>1.3000000000000007</c:v>
                </c:pt>
                <c:pt idx="114">
                  <c:v>1.4000000000000004</c:v>
                </c:pt>
                <c:pt idx="115">
                  <c:v>1.5</c:v>
                </c:pt>
                <c:pt idx="116">
                  <c:v>1.6000000000000014</c:v>
                </c:pt>
                <c:pt idx="117">
                  <c:v>1.7000000000000011</c:v>
                </c:pt>
                <c:pt idx="118">
                  <c:v>1.8000000000000007</c:v>
                </c:pt>
                <c:pt idx="119">
                  <c:v>1.9000000000000004</c:v>
                </c:pt>
                <c:pt idx="120">
                  <c:v>2</c:v>
                </c:pt>
                <c:pt idx="121">
                  <c:v>2.1000000000000014</c:v>
                </c:pt>
                <c:pt idx="122">
                  <c:v>2.2000000000000011</c:v>
                </c:pt>
                <c:pt idx="123">
                  <c:v>2.3000000000000007</c:v>
                </c:pt>
                <c:pt idx="124">
                  <c:v>2.4000000000000004</c:v>
                </c:pt>
                <c:pt idx="125">
                  <c:v>2.5</c:v>
                </c:pt>
                <c:pt idx="126">
                  <c:v>2.6000000000000014</c:v>
                </c:pt>
                <c:pt idx="127">
                  <c:v>2.7000000000000011</c:v>
                </c:pt>
                <c:pt idx="128">
                  <c:v>2.8000000000000007</c:v>
                </c:pt>
                <c:pt idx="129">
                  <c:v>2.9000000000000004</c:v>
                </c:pt>
                <c:pt idx="130">
                  <c:v>3</c:v>
                </c:pt>
                <c:pt idx="131">
                  <c:v>3.1000000000000014</c:v>
                </c:pt>
                <c:pt idx="132">
                  <c:v>3.2000000000000011</c:v>
                </c:pt>
                <c:pt idx="133">
                  <c:v>3.3000000000000007</c:v>
                </c:pt>
                <c:pt idx="134">
                  <c:v>3.4000000000000004</c:v>
                </c:pt>
                <c:pt idx="135">
                  <c:v>3.5</c:v>
                </c:pt>
                <c:pt idx="136">
                  <c:v>3.6000000000000014</c:v>
                </c:pt>
                <c:pt idx="137">
                  <c:v>3.7000000000000011</c:v>
                </c:pt>
                <c:pt idx="138">
                  <c:v>3.8000000000000007</c:v>
                </c:pt>
                <c:pt idx="139">
                  <c:v>3.9000000000000004</c:v>
                </c:pt>
                <c:pt idx="140">
                  <c:v>4</c:v>
                </c:pt>
                <c:pt idx="141">
                  <c:v>4.1000000000000014</c:v>
                </c:pt>
                <c:pt idx="142">
                  <c:v>4.2000000000000011</c:v>
                </c:pt>
                <c:pt idx="143">
                  <c:v>4.3000000000000007</c:v>
                </c:pt>
                <c:pt idx="144">
                  <c:v>4.4000000000000004</c:v>
                </c:pt>
                <c:pt idx="145">
                  <c:v>4.5</c:v>
                </c:pt>
                <c:pt idx="146">
                  <c:v>4.6000000000000014</c:v>
                </c:pt>
                <c:pt idx="147">
                  <c:v>4.7000000000000011</c:v>
                </c:pt>
                <c:pt idx="148">
                  <c:v>4.8000000000000007</c:v>
                </c:pt>
                <c:pt idx="149">
                  <c:v>4.9000000000000004</c:v>
                </c:pt>
                <c:pt idx="150">
                  <c:v>5</c:v>
                </c:pt>
                <c:pt idx="151">
                  <c:v>5.1000000000000014</c:v>
                </c:pt>
                <c:pt idx="152">
                  <c:v>5.2000000000000011</c:v>
                </c:pt>
                <c:pt idx="153">
                  <c:v>5.3000000000000007</c:v>
                </c:pt>
                <c:pt idx="154">
                  <c:v>5.4</c:v>
                </c:pt>
                <c:pt idx="155">
                  <c:v>5.5</c:v>
                </c:pt>
                <c:pt idx="156">
                  <c:v>5.6000000000000014</c:v>
                </c:pt>
                <c:pt idx="157">
                  <c:v>5.7000000000000011</c:v>
                </c:pt>
                <c:pt idx="158">
                  <c:v>5.8000000000000007</c:v>
                </c:pt>
                <c:pt idx="159">
                  <c:v>5.9</c:v>
                </c:pt>
                <c:pt idx="160">
                  <c:v>6</c:v>
                </c:pt>
                <c:pt idx="161">
                  <c:v>6.1000000000000014</c:v>
                </c:pt>
                <c:pt idx="162">
                  <c:v>6.1999999999999993</c:v>
                </c:pt>
                <c:pt idx="163">
                  <c:v>6.3000000000000007</c:v>
                </c:pt>
                <c:pt idx="164">
                  <c:v>6.4000000000000021</c:v>
                </c:pt>
                <c:pt idx="165">
                  <c:v>6.5</c:v>
                </c:pt>
                <c:pt idx="166">
                  <c:v>6.6000000000000014</c:v>
                </c:pt>
                <c:pt idx="167">
                  <c:v>6.6999999999999993</c:v>
                </c:pt>
                <c:pt idx="168">
                  <c:v>6.8000000000000007</c:v>
                </c:pt>
                <c:pt idx="169">
                  <c:v>6.9000000000000021</c:v>
                </c:pt>
                <c:pt idx="170">
                  <c:v>7</c:v>
                </c:pt>
                <c:pt idx="171">
                  <c:v>7.1000000000000014</c:v>
                </c:pt>
                <c:pt idx="172">
                  <c:v>7.1999999999999993</c:v>
                </c:pt>
                <c:pt idx="173">
                  <c:v>7.3000000000000007</c:v>
                </c:pt>
                <c:pt idx="174">
                  <c:v>7.4000000000000021</c:v>
                </c:pt>
                <c:pt idx="175">
                  <c:v>7.5</c:v>
                </c:pt>
                <c:pt idx="176">
                  <c:v>7.6000000000000014</c:v>
                </c:pt>
                <c:pt idx="177">
                  <c:v>7.6999999999999993</c:v>
                </c:pt>
                <c:pt idx="178">
                  <c:v>7.8000000000000007</c:v>
                </c:pt>
                <c:pt idx="179">
                  <c:v>7.9000000000000021</c:v>
                </c:pt>
                <c:pt idx="180">
                  <c:v>8</c:v>
                </c:pt>
                <c:pt idx="181">
                  <c:v>8.1000000000000014</c:v>
                </c:pt>
                <c:pt idx="182">
                  <c:v>8.1999999999999993</c:v>
                </c:pt>
                <c:pt idx="183">
                  <c:v>8.3000000000000007</c:v>
                </c:pt>
                <c:pt idx="184">
                  <c:v>8.4000000000000021</c:v>
                </c:pt>
                <c:pt idx="185">
                  <c:v>8.5</c:v>
                </c:pt>
                <c:pt idx="186">
                  <c:v>8.6000000000000014</c:v>
                </c:pt>
                <c:pt idx="187">
                  <c:v>8.6999999999999993</c:v>
                </c:pt>
                <c:pt idx="188">
                  <c:v>8.8000000000000007</c:v>
                </c:pt>
                <c:pt idx="189">
                  <c:v>8.9000000000000021</c:v>
                </c:pt>
                <c:pt idx="190">
                  <c:v>9</c:v>
                </c:pt>
                <c:pt idx="191">
                  <c:v>9.1000000000000014</c:v>
                </c:pt>
                <c:pt idx="192">
                  <c:v>9.2000000000000028</c:v>
                </c:pt>
                <c:pt idx="193">
                  <c:v>9.3000000000000007</c:v>
                </c:pt>
                <c:pt idx="194">
                  <c:v>9.4000000000000021</c:v>
                </c:pt>
                <c:pt idx="195">
                  <c:v>9.5</c:v>
                </c:pt>
                <c:pt idx="196">
                  <c:v>9.6000000000000014</c:v>
                </c:pt>
                <c:pt idx="197">
                  <c:v>9.7000000000000028</c:v>
                </c:pt>
                <c:pt idx="198">
                  <c:v>9.8000000000000007</c:v>
                </c:pt>
                <c:pt idx="199">
                  <c:v>9.9000000000000021</c:v>
                </c:pt>
                <c:pt idx="200">
                  <c:v>10</c:v>
                </c:pt>
              </c:numCache>
            </c:numRef>
          </c:xVal>
          <c:yVal>
            <c:numRef>
              <c:f>'one point'!$AV$10:$AV$211</c:f>
              <c:numCache>
                <c:formatCode>General</c:formatCode>
                <c:ptCount val="202"/>
                <c:pt idx="0">
                  <c:v>0</c:v>
                </c:pt>
                <c:pt idx="1">
                  <c:v>-1.4106735979665865</c:v>
                </c:pt>
                <c:pt idx="2">
                  <c:v>-1.9899748742132348</c:v>
                </c:pt>
                <c:pt idx="3">
                  <c:v>-2.4310491562286458</c:v>
                </c:pt>
                <c:pt idx="4">
                  <c:v>-2.8000000000000007</c:v>
                </c:pt>
                <c:pt idx="5">
                  <c:v>-3.1224989991991992</c:v>
                </c:pt>
                <c:pt idx="6">
                  <c:v>-3.4117444218463944</c:v>
                </c:pt>
                <c:pt idx="7">
                  <c:v>-3.6755951898978201</c:v>
                </c:pt>
                <c:pt idx="8">
                  <c:v>-3.9191835884530866</c:v>
                </c:pt>
                <c:pt idx="9">
                  <c:v>-4.1460824883255771</c:v>
                </c:pt>
                <c:pt idx="10">
                  <c:v>-4.358898943540674</c:v>
                </c:pt>
                <c:pt idx="11">
                  <c:v>-4.5596052460711984</c:v>
                </c:pt>
                <c:pt idx="12">
                  <c:v>-4.7497368348151658</c:v>
                </c:pt>
                <c:pt idx="13">
                  <c:v>-4.9305172142484217</c:v>
                </c:pt>
                <c:pt idx="14">
                  <c:v>-5.1029403288692299</c:v>
                </c:pt>
                <c:pt idx="15">
                  <c:v>-5.2678268764263692</c:v>
                </c:pt>
                <c:pt idx="16">
                  <c:v>-5.4258639865002145</c:v>
                </c:pt>
                <c:pt idx="17">
                  <c:v>-5.5776339069537348</c:v>
                </c:pt>
                <c:pt idx="18">
                  <c:v>-5.7236352085016744</c:v>
                </c:pt>
                <c:pt idx="19">
                  <c:v>-5.8642987645583</c:v>
                </c:pt>
                <c:pt idx="20">
                  <c:v>-6</c:v>
                </c:pt>
                <c:pt idx="21">
                  <c:v>-6.1310684223877319</c:v>
                </c:pt>
                <c:pt idx="22">
                  <c:v>-6.2577951388648065</c:v>
                </c:pt>
                <c:pt idx="23">
                  <c:v>-6.3804388563797092</c:v>
                </c:pt>
                <c:pt idx="24">
                  <c:v>-6.4992307237087683</c:v>
                </c:pt>
                <c:pt idx="25">
                  <c:v>-6.6143782776614763</c:v>
                </c:pt>
                <c:pt idx="26">
                  <c:v>-6.726068688320094</c:v>
                </c:pt>
                <c:pt idx="27">
                  <c:v>-6.8344714499367107</c:v>
                </c:pt>
                <c:pt idx="28">
                  <c:v>-6.9397406291589894</c:v>
                </c:pt>
                <c:pt idx="29">
                  <c:v>-7.0420167565833021</c:v>
                </c:pt>
                <c:pt idx="30">
                  <c:v>-7.1414284285428504</c:v>
                </c:pt>
                <c:pt idx="31">
                  <c:v>-7.2380936716790281</c:v>
                </c:pt>
                <c:pt idx="32">
                  <c:v>-7.3321211119293448</c:v>
                </c:pt>
                <c:pt idx="33">
                  <c:v>-7.4236109811869859</c:v>
                </c:pt>
                <c:pt idx="34">
                  <c:v>-7.5126559883971797</c:v>
                </c:pt>
                <c:pt idx="35">
                  <c:v>-7.5993420767853319</c:v>
                </c:pt>
                <c:pt idx="36">
                  <c:v>-7.6837490849194179</c:v>
                </c:pt>
                <c:pt idx="37">
                  <c:v>-7.7659513261415691</c:v>
                </c:pt>
                <c:pt idx="38">
                  <c:v>-7.8460180983732126</c:v>
                </c:pt>
                <c:pt idx="39">
                  <c:v>-7.9240141342630128</c:v>
                </c:pt>
                <c:pt idx="40">
                  <c:v>-8</c:v>
                </c:pt>
                <c:pt idx="41">
                  <c:v>-8.0740324497737799</c:v>
                </c:pt>
                <c:pt idx="42">
                  <c:v>-8.1461647417665208</c:v>
                </c:pt>
                <c:pt idx="43">
                  <c:v>-8.2164469206585871</c:v>
                </c:pt>
                <c:pt idx="44">
                  <c:v>-8.2849260708831913</c:v>
                </c:pt>
                <c:pt idx="45">
                  <c:v>-8.3516465442450336</c:v>
                </c:pt>
                <c:pt idx="46">
                  <c:v>-8.4166501650003251</c:v>
                </c:pt>
                <c:pt idx="47">
                  <c:v>-8.4799764150615413</c:v>
                </c:pt>
                <c:pt idx="48">
                  <c:v>-8.541662601625049</c:v>
                </c:pt>
                <c:pt idx="49">
                  <c:v>-8.6017440092111563</c:v>
                </c:pt>
                <c:pt idx="50">
                  <c:v>-8.6602540378443873</c:v>
                </c:pt>
                <c:pt idx="51">
                  <c:v>-8.7172243288790039</c:v>
                </c:pt>
                <c:pt idx="52">
                  <c:v>-8.7726848797845243</c:v>
                </c:pt>
                <c:pt idx="53">
                  <c:v>-8.8266641490429443</c:v>
                </c:pt>
                <c:pt idx="54">
                  <c:v>-8.8791891521692463</c:v>
                </c:pt>
                <c:pt idx="55">
                  <c:v>-8.9302855497458751</c:v>
                </c:pt>
                <c:pt idx="56">
                  <c:v>-8.9799777282574595</c:v>
                </c:pt>
                <c:pt idx="57">
                  <c:v>-9.0282888744213317</c:v>
                </c:pt>
                <c:pt idx="58">
                  <c:v>-9.0752410436307436</c:v>
                </c:pt>
                <c:pt idx="59">
                  <c:v>-9.1208552230588555</c:v>
                </c:pt>
                <c:pt idx="60">
                  <c:v>-9.1651513899116797</c:v>
                </c:pt>
                <c:pt idx="61">
                  <c:v>-9.2081485652654411</c:v>
                </c:pt>
                <c:pt idx="62">
                  <c:v>-9.2498648638777414</c:v>
                </c:pt>
                <c:pt idx="63">
                  <c:v>-9.2903175403212135</c:v>
                </c:pt>
                <c:pt idx="64">
                  <c:v>-9.3295230317524815</c:v>
                </c:pt>
                <c:pt idx="65">
                  <c:v>-9.3674969975975966</c:v>
                </c:pt>
                <c:pt idx="66">
                  <c:v>-9.404254356406998</c:v>
                </c:pt>
                <c:pt idx="67">
                  <c:v>-9.4398093201081128</c:v>
                </c:pt>
                <c:pt idx="68">
                  <c:v>-9.4741754258616098</c:v>
                </c:pt>
                <c:pt idx="69">
                  <c:v>-9.5073655657074632</c:v>
                </c:pt>
                <c:pt idx="70">
                  <c:v>-9.5393920141694561</c:v>
                </c:pt>
                <c:pt idx="71">
                  <c:v>-9.5702664539708611</c:v>
                </c:pt>
                <c:pt idx="72">
                  <c:v>-9.6</c:v>
                </c:pt>
                <c:pt idx="73">
                  <c:v>-9.6286032216516233</c:v>
                </c:pt>
                <c:pt idx="74">
                  <c:v>-9.6560861636586495</c:v>
                </c:pt>
                <c:pt idx="75">
                  <c:v>-9.6824583655185421</c:v>
                </c:pt>
                <c:pt idx="76">
                  <c:v>-9.7077288796092773</c:v>
                </c:pt>
                <c:pt idx="77">
                  <c:v>-9.7319062880814879</c:v>
                </c:pt>
                <c:pt idx="78">
                  <c:v>-9.7549987186057585</c:v>
                </c:pt>
                <c:pt idx="79">
                  <c:v>-9.7770138590471483</c:v>
                </c:pt>
                <c:pt idx="80">
                  <c:v>-9.7979589711327115</c:v>
                </c:pt>
                <c:pt idx="81">
                  <c:v>-9.8178409031721436</c:v>
                </c:pt>
                <c:pt idx="82">
                  <c:v>-9.836666101886351</c:v>
                </c:pt>
                <c:pt idx="83">
                  <c:v>-9.8544406233941046</c:v>
                </c:pt>
                <c:pt idx="84">
                  <c:v>-9.8711701434024519</c:v>
                </c:pt>
                <c:pt idx="85">
                  <c:v>-9.8868599666425947</c:v>
                </c:pt>
                <c:pt idx="86">
                  <c:v>-9.9015150355892505</c:v>
                </c:pt>
                <c:pt idx="87">
                  <c:v>-9.9151399384980952</c:v>
                </c:pt>
                <c:pt idx="88">
                  <c:v>-9.9277389167926859</c:v>
                </c:pt>
                <c:pt idx="89">
                  <c:v>-9.9393158718294092</c:v>
                </c:pt>
                <c:pt idx="90">
                  <c:v>-9.9498743710661994</c:v>
                </c:pt>
                <c:pt idx="91">
                  <c:v>-9.959417653658269</c:v>
                </c:pt>
                <c:pt idx="92">
                  <c:v>-9.9679486355016902</c:v>
                </c:pt>
                <c:pt idx="93">
                  <c:v>-9.975469913743412</c:v>
                </c:pt>
                <c:pt idx="94">
                  <c:v>-9.9819837707742245</c:v>
                </c:pt>
                <c:pt idx="95">
                  <c:v>-9.9874921777190888</c:v>
                </c:pt>
                <c:pt idx="96">
                  <c:v>-9.9919967974374373</c:v>
                </c:pt>
                <c:pt idx="97">
                  <c:v>-9.9954989870441189</c:v>
                </c:pt>
                <c:pt idx="98">
                  <c:v>-9.9979997999599899</c:v>
                </c:pt>
                <c:pt idx="99">
                  <c:v>-9.9994999874993749</c:v>
                </c:pt>
                <c:pt idx="100">
                  <c:v>-10</c:v>
                </c:pt>
                <c:pt idx="101">
                  <c:v>-9.9994999874993749</c:v>
                </c:pt>
                <c:pt idx="102">
                  <c:v>-9.9979997999599899</c:v>
                </c:pt>
                <c:pt idx="103">
                  <c:v>-9.9954989870441189</c:v>
                </c:pt>
                <c:pt idx="104">
                  <c:v>-9.9919967974374373</c:v>
                </c:pt>
                <c:pt idx="105">
                  <c:v>-9.9874921777190888</c:v>
                </c:pt>
                <c:pt idx="106">
                  <c:v>-9.9819837707742245</c:v>
                </c:pt>
                <c:pt idx="107">
                  <c:v>-9.975469913743412</c:v>
                </c:pt>
                <c:pt idx="108">
                  <c:v>-9.9679486355016902</c:v>
                </c:pt>
                <c:pt idx="109">
                  <c:v>-9.959417653658269</c:v>
                </c:pt>
                <c:pt idx="110">
                  <c:v>-9.9498743710661994</c:v>
                </c:pt>
                <c:pt idx="111">
                  <c:v>-9.9393158718294092</c:v>
                </c:pt>
                <c:pt idx="112">
                  <c:v>-9.9277389167926859</c:v>
                </c:pt>
                <c:pt idx="113">
                  <c:v>-9.9151399384980952</c:v>
                </c:pt>
                <c:pt idx="114">
                  <c:v>-9.9015150355892505</c:v>
                </c:pt>
                <c:pt idx="115">
                  <c:v>-9.8868599666425947</c:v>
                </c:pt>
                <c:pt idx="116">
                  <c:v>-9.8711701434024519</c:v>
                </c:pt>
                <c:pt idx="117">
                  <c:v>-9.8544406233941046</c:v>
                </c:pt>
                <c:pt idx="118">
                  <c:v>-9.8366661018863493</c:v>
                </c:pt>
                <c:pt idx="119">
                  <c:v>-9.8178409031721436</c:v>
                </c:pt>
                <c:pt idx="120">
                  <c:v>-9.7979589711327115</c:v>
                </c:pt>
                <c:pt idx="121">
                  <c:v>-9.7770138590471465</c:v>
                </c:pt>
                <c:pt idx="122">
                  <c:v>-9.7549987186057585</c:v>
                </c:pt>
                <c:pt idx="123">
                  <c:v>-9.7319062880814879</c:v>
                </c:pt>
                <c:pt idx="124">
                  <c:v>-9.7077288796092773</c:v>
                </c:pt>
                <c:pt idx="125">
                  <c:v>-9.6824583655185421</c:v>
                </c:pt>
                <c:pt idx="126">
                  <c:v>-9.6560861636586477</c:v>
                </c:pt>
                <c:pt idx="127">
                  <c:v>-9.6286032216516215</c:v>
                </c:pt>
                <c:pt idx="128">
                  <c:v>-9.6</c:v>
                </c:pt>
                <c:pt idx="129">
                  <c:v>-9.5702664539708611</c:v>
                </c:pt>
                <c:pt idx="130">
                  <c:v>-9.5393920141694561</c:v>
                </c:pt>
                <c:pt idx="131">
                  <c:v>-9.5073655657074632</c:v>
                </c:pt>
                <c:pt idx="132">
                  <c:v>-9.474175425861608</c:v>
                </c:pt>
                <c:pt idx="133">
                  <c:v>-9.4398093201081128</c:v>
                </c:pt>
                <c:pt idx="134">
                  <c:v>-9.404254356406998</c:v>
                </c:pt>
                <c:pt idx="135">
                  <c:v>-9.3674969975975966</c:v>
                </c:pt>
                <c:pt idx="136">
                  <c:v>-9.3295230317524798</c:v>
                </c:pt>
                <c:pt idx="137">
                  <c:v>-9.2903175403212135</c:v>
                </c:pt>
                <c:pt idx="138">
                  <c:v>-9.2498648638777414</c:v>
                </c:pt>
                <c:pt idx="139">
                  <c:v>-9.2081485652654411</c:v>
                </c:pt>
                <c:pt idx="140">
                  <c:v>-9.1651513899116797</c:v>
                </c:pt>
                <c:pt idx="141">
                  <c:v>-9.1208552230588538</c:v>
                </c:pt>
                <c:pt idx="142">
                  <c:v>-9.0752410436307418</c:v>
                </c:pt>
                <c:pt idx="143">
                  <c:v>-9.0282888744213317</c:v>
                </c:pt>
                <c:pt idx="144">
                  <c:v>-8.9799777282574595</c:v>
                </c:pt>
                <c:pt idx="145">
                  <c:v>-8.9302855497458751</c:v>
                </c:pt>
                <c:pt idx="146">
                  <c:v>-8.8791891521692445</c:v>
                </c:pt>
                <c:pt idx="147">
                  <c:v>-8.8266641490429443</c:v>
                </c:pt>
                <c:pt idx="148">
                  <c:v>-8.7726848797845225</c:v>
                </c:pt>
                <c:pt idx="149">
                  <c:v>-8.7172243288790039</c:v>
                </c:pt>
                <c:pt idx="150">
                  <c:v>-8.6602540378443873</c:v>
                </c:pt>
                <c:pt idx="151">
                  <c:v>-8.6017440092111546</c:v>
                </c:pt>
                <c:pt idx="152">
                  <c:v>-8.541662601625049</c:v>
                </c:pt>
                <c:pt idx="153">
                  <c:v>-8.4799764150615413</c:v>
                </c:pt>
                <c:pt idx="154">
                  <c:v>-8.4166501650003251</c:v>
                </c:pt>
                <c:pt idx="155">
                  <c:v>-8.3516465442450336</c:v>
                </c:pt>
                <c:pt idx="156">
                  <c:v>-8.2849260708831913</c:v>
                </c:pt>
                <c:pt idx="157">
                  <c:v>-8.2164469206585871</c:v>
                </c:pt>
                <c:pt idx="158">
                  <c:v>-8.1461647417665191</c:v>
                </c:pt>
                <c:pt idx="159">
                  <c:v>-8.0740324497737799</c:v>
                </c:pt>
                <c:pt idx="160">
                  <c:v>-8</c:v>
                </c:pt>
                <c:pt idx="161">
                  <c:v>-7.9240141342630119</c:v>
                </c:pt>
                <c:pt idx="162">
                  <c:v>-7.8460180983732126</c:v>
                </c:pt>
                <c:pt idx="163">
                  <c:v>-7.7659513261415682</c:v>
                </c:pt>
                <c:pt idx="164">
                  <c:v>-7.6837490849194161</c:v>
                </c:pt>
                <c:pt idx="165">
                  <c:v>-7.5993420767853319</c:v>
                </c:pt>
                <c:pt idx="166">
                  <c:v>-7.512655988397178</c:v>
                </c:pt>
                <c:pt idx="167">
                  <c:v>-7.4236109811869859</c:v>
                </c:pt>
                <c:pt idx="168">
                  <c:v>-7.332121111929343</c:v>
                </c:pt>
                <c:pt idx="169">
                  <c:v>-7.2380936716790263</c:v>
                </c:pt>
                <c:pt idx="170">
                  <c:v>-7.1414284285428504</c:v>
                </c:pt>
                <c:pt idx="171">
                  <c:v>-7.0420167565833003</c:v>
                </c:pt>
                <c:pt idx="172">
                  <c:v>-6.9397406291589894</c:v>
                </c:pt>
                <c:pt idx="173">
                  <c:v>-6.834471449936709</c:v>
                </c:pt>
                <c:pt idx="174">
                  <c:v>-6.7260686883200922</c:v>
                </c:pt>
                <c:pt idx="175">
                  <c:v>-6.6143782776614763</c:v>
                </c:pt>
                <c:pt idx="176">
                  <c:v>-6.4992307237087665</c:v>
                </c:pt>
                <c:pt idx="177">
                  <c:v>-6.3804388563797092</c:v>
                </c:pt>
                <c:pt idx="178">
                  <c:v>-6.2577951388648057</c:v>
                </c:pt>
                <c:pt idx="179">
                  <c:v>-6.1310684223877301</c:v>
                </c:pt>
                <c:pt idx="180">
                  <c:v>-6</c:v>
                </c:pt>
                <c:pt idx="181">
                  <c:v>-5.8642987645582973</c:v>
                </c:pt>
                <c:pt idx="182">
                  <c:v>-5.7236352085016744</c:v>
                </c:pt>
                <c:pt idx="183">
                  <c:v>-5.5776339069537348</c:v>
                </c:pt>
                <c:pt idx="184">
                  <c:v>-5.4258639865002118</c:v>
                </c:pt>
                <c:pt idx="185">
                  <c:v>-5.2678268764263692</c:v>
                </c:pt>
                <c:pt idx="186">
                  <c:v>-5.1029403288692272</c:v>
                </c:pt>
                <c:pt idx="187">
                  <c:v>-4.9305172142484217</c:v>
                </c:pt>
                <c:pt idx="188">
                  <c:v>-4.7497368348151658</c:v>
                </c:pt>
                <c:pt idx="189">
                  <c:v>-4.5596052460711949</c:v>
                </c:pt>
                <c:pt idx="190">
                  <c:v>-4.358898943540674</c:v>
                </c:pt>
                <c:pt idx="191">
                  <c:v>-4.1460824883255727</c:v>
                </c:pt>
                <c:pt idx="192">
                  <c:v>-3.9191835884530777</c:v>
                </c:pt>
                <c:pt idx="193">
                  <c:v>-3.6755951898978201</c:v>
                </c:pt>
                <c:pt idx="194">
                  <c:v>-3.4117444218463899</c:v>
                </c:pt>
                <c:pt idx="195">
                  <c:v>-3.1224989991991992</c:v>
                </c:pt>
                <c:pt idx="196">
                  <c:v>-2.7999999999999954</c:v>
                </c:pt>
                <c:pt idx="197">
                  <c:v>-2.4310491562286312</c:v>
                </c:pt>
                <c:pt idx="198">
                  <c:v>-1.9899748742132348</c:v>
                </c:pt>
                <c:pt idx="199">
                  <c:v>-1.4106735979665714</c:v>
                </c:pt>
                <c:pt idx="200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v>9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point'!$AY$18:$AY$21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-4.2011634041832204</c:v>
                </c:pt>
                <c:pt idx="2">
                  <c:v>9.9631156771726026</c:v>
                </c:pt>
                <c:pt idx="3">
                  <c:v>10.862515400917093</c:v>
                </c:pt>
              </c:numCache>
            </c:numRef>
          </c:xVal>
          <c:yVal>
            <c:numRef>
              <c:f>'one point'!$AZ$18:$AZ$21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9.0747025323892405</c:v>
                </c:pt>
                <c:pt idx="2">
                  <c:v>-0.85809440231102618</c:v>
                </c:pt>
                <c:pt idx="3">
                  <c:v>-10.191129192045848</c:v>
                </c:pt>
              </c:numCache>
            </c:numRef>
          </c:yVal>
          <c:smooth val="0"/>
        </c:ser>
        <c:ser>
          <c:idx val="3"/>
          <c:order val="3"/>
          <c:tx>
            <c:v>8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dPt>
            <c:idx val="1"/>
            <c:bubble3D val="0"/>
            <c:spPr>
              <a:ln cap="flat">
                <a:solidFill>
                  <a:srgbClr val="FF0000"/>
                </a:solidFill>
              </a:ln>
            </c:spPr>
          </c:dPt>
          <c:dPt>
            <c:idx val="2"/>
            <c:bubble3D val="0"/>
            <c:spPr>
              <a:ln cap="sq">
                <a:solidFill>
                  <a:srgbClr val="FF0000"/>
                </a:solidFill>
              </a:ln>
            </c:spPr>
          </c:dPt>
          <c:xVal>
            <c:numRef>
              <c:f>'one point'!$BA$18:$BA$21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-5.8594669194400799</c:v>
                </c:pt>
                <c:pt idx="2">
                  <c:v>9.99289202383647</c:v>
                </c:pt>
                <c:pt idx="3">
                  <c:v>14.854270318997356</c:v>
                </c:pt>
              </c:numCache>
            </c:numRef>
          </c:xVal>
          <c:yVal>
            <c:numRef>
              <c:f>'one point'!$BB$18:$BB$21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8.1034959998748306</c:v>
                </c:pt>
                <c:pt idx="2">
                  <c:v>0.37697347379553825</c:v>
                </c:pt>
                <c:pt idx="3">
                  <c:v>-10.260805533318472</c:v>
                </c:pt>
              </c:numCache>
            </c:numRef>
          </c:yVal>
          <c:smooth val="0"/>
        </c:ser>
        <c:ser>
          <c:idx val="4"/>
          <c:order val="4"/>
          <c:tx>
            <c:v>7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point'!$BC$18:$BC$21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-7.0181739093419138</c:v>
                </c:pt>
                <c:pt idx="2">
                  <c:v>9.9519354812216569</c:v>
                </c:pt>
                <c:pt idx="3">
                  <c:v>18.78689050588132</c:v>
                </c:pt>
              </c:numCache>
            </c:numRef>
          </c:xVal>
          <c:yVal>
            <c:numRef>
              <c:f>'one point'!$BD$18:$BD$21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7.1235689775724396</c:v>
                </c:pt>
                <c:pt idx="2">
                  <c:v>0.97927533288727653</c:v>
                </c:pt>
                <c:pt idx="3">
                  <c:v>-10.32944967401855</c:v>
                </c:pt>
              </c:numCache>
            </c:numRef>
          </c:yVal>
          <c:smooth val="0"/>
        </c:ser>
        <c:ser>
          <c:idx val="5"/>
          <c:order val="5"/>
          <c:tx>
            <c:v>6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point'!$BE$18:$BE$21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-7.8940671226274288</c:v>
                </c:pt>
                <c:pt idx="2">
                  <c:v>9.9232416650564339</c:v>
                </c:pt>
                <c:pt idx="3">
                  <c:v>23.101994685729217</c:v>
                </c:pt>
              </c:numCache>
            </c:numRef>
          </c:xVal>
          <c:yVal>
            <c:numRef>
              <c:f>'one point'!$BF$18:$BF$21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6.1387054224366162</c:v>
                </c:pt>
                <c:pt idx="2">
                  <c:v>1.2366385312159818</c:v>
                </c:pt>
                <c:pt idx="3">
                  <c:v>-10.404770097649818</c:v>
                </c:pt>
              </c:numCache>
            </c:numRef>
          </c:yVal>
          <c:smooth val="0"/>
        </c:ser>
        <c:ser>
          <c:idx val="6"/>
          <c:order val="6"/>
          <c:tx>
            <c:v>5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point'!$BG$18:$BG$21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-8.5716730070211238</c:v>
                </c:pt>
                <c:pt idx="2">
                  <c:v>9.919079519740416</c:v>
                </c:pt>
                <c:pt idx="3">
                  <c:v>28.234989921757776</c:v>
                </c:pt>
              </c:numCache>
            </c:numRef>
          </c:xVal>
          <c:yVal>
            <c:numRef>
              <c:f>'one point'!$BH$18:$BH$21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5.1503807491005418</c:v>
                </c:pt>
                <c:pt idx="2">
                  <c:v>1.2695910684414231</c:v>
                </c:pt>
                <c:pt idx="3">
                  <c:v>-10.494366862770928</c:v>
                </c:pt>
              </c:numCache>
            </c:numRef>
          </c:yVal>
          <c:smooth val="0"/>
        </c:ser>
        <c:ser>
          <c:idx val="7"/>
          <c:order val="7"/>
          <c:tx>
            <c:v>4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point'!$BI$18:$BI$21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-9.0939458672134545</c:v>
                </c:pt>
                <c:pt idx="2">
                  <c:v>9.9342408869492775</c:v>
                </c:pt>
                <c:pt idx="3">
                  <c:v>34.938613726224858</c:v>
                </c:pt>
              </c:numCache>
            </c:numRef>
          </c:xVal>
          <c:yVal>
            <c:numRef>
              <c:f>'one point'!$BJ$18:$BJ$21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4.1593447277415372</c:v>
                </c:pt>
                <c:pt idx="2">
                  <c:v>1.1449270719418123</c:v>
                </c:pt>
                <c:pt idx="3">
                  <c:v>-10.611379051532245</c:v>
                </c:pt>
              </c:numCache>
            </c:numRef>
          </c:yVal>
          <c:smooth val="0"/>
        </c:ser>
        <c:ser>
          <c:idx val="8"/>
          <c:order val="8"/>
          <c:tx>
            <c:v>3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point'!$BK$18:$BK$21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-9.4855818992487642</c:v>
                </c:pt>
                <c:pt idx="2">
                  <c:v>9.9587986614701602</c:v>
                </c:pt>
                <c:pt idx="3">
                  <c:v>44.925511065018817</c:v>
                </c:pt>
              </c:numCache>
            </c:numRef>
          </c:xVal>
          <c:yVal>
            <c:numRef>
              <c:f>'one point'!$BL$18:$BL$21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3.166028432065036</c:v>
                </c:pt>
                <c:pt idx="2">
                  <c:v>0.9068236985766116</c:v>
                </c:pt>
                <c:pt idx="3">
                  <c:v>-10.785700993012338</c:v>
                </c:pt>
              </c:numCache>
            </c:numRef>
          </c:yVal>
          <c:smooth val="0"/>
        </c:ser>
        <c:ser>
          <c:idx val="9"/>
          <c:order val="9"/>
          <c:tx>
            <c:v>2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point'!$BM$18:$BM$21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-9.7615618816493619</c:v>
                </c:pt>
                <c:pt idx="2">
                  <c:v>9.9826451149357691</c:v>
                </c:pt>
                <c:pt idx="3">
                  <c:v>63.329598515787438</c:v>
                </c:pt>
              </c:numCache>
            </c:numRef>
          </c:xVal>
          <c:yVal>
            <c:numRef>
              <c:f>'one point'!$BN$18:$BN$21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2.1706933525328189</c:v>
                </c:pt>
                <c:pt idx="2">
                  <c:v>0.5888943107629846</c:v>
                </c:pt>
                <c:pt idx="3">
                  <c:v>-11.106945534410098</c:v>
                </c:pt>
              </c:numCache>
            </c:numRef>
          </c:yVal>
          <c:smooth val="0"/>
        </c:ser>
        <c:ser>
          <c:idx val="10"/>
          <c:order val="10"/>
          <c:tx>
            <c:v>1</c:v>
          </c:tx>
          <c:marker>
            <c:symbol val="none"/>
          </c:marker>
          <c:dPt>
            <c:idx val="1"/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2"/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3"/>
            <c:bubble3D val="0"/>
            <c:spPr>
              <a:ln>
                <a:solidFill>
                  <a:srgbClr val="FF0000"/>
                </a:solidFill>
              </a:ln>
            </c:spPr>
          </c:dPt>
          <c:xVal>
            <c:numRef>
              <c:f>'one point'!$BO$18:$BO$21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-9.9309065505689027</c:v>
                </c:pt>
                <c:pt idx="2">
                  <c:v>9.9975862731421845</c:v>
                </c:pt>
                <c:pt idx="3">
                  <c:v>115.85652129617019</c:v>
                </c:pt>
              </c:numCache>
            </c:numRef>
          </c:xVal>
          <c:yVal>
            <c:numRef>
              <c:f>'one point'!$BP$18:$BP$21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1.1734969466801493</c:v>
                </c:pt>
                <c:pt idx="2">
                  <c:v>0.21970141346601707</c:v>
                </c:pt>
                <c:pt idx="3">
                  <c:v>-12.023806382021149</c:v>
                </c:pt>
              </c:numCache>
            </c:numRef>
          </c:yVal>
          <c:smooth val="1"/>
        </c:ser>
        <c:ser>
          <c:idx val="11"/>
          <c:order val="11"/>
          <c:tx>
            <c:v>-9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point'!$AY$23:$AY$26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-4.5153067200543235</c:v>
                </c:pt>
                <c:pt idx="2">
                  <c:v>9.9869934790603345</c:v>
                </c:pt>
                <c:pt idx="3">
                  <c:v>11.211563529662765</c:v>
                </c:pt>
              </c:numCache>
            </c:numRef>
          </c:xVal>
          <c:yVal>
            <c:numRef>
              <c:f>'one point'!$AZ$23:$AZ$26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-8.9225559804258037</c:v>
                </c:pt>
                <c:pt idx="2">
                  <c:v>0.50986395166395204</c:v>
                </c:pt>
                <c:pt idx="3">
                  <c:v>9.8058247110819767</c:v>
                </c:pt>
              </c:numCache>
            </c:numRef>
          </c:yVal>
          <c:smooth val="0"/>
        </c:ser>
        <c:ser>
          <c:idx val="13"/>
          <c:order val="12"/>
          <c:tx>
            <c:v>-8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point'!$BA$23:$BA$26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-6.1387054224366162</c:v>
                </c:pt>
                <c:pt idx="2">
                  <c:v>9.9736484395087981</c:v>
                </c:pt>
                <c:pt idx="3">
                  <c:v>15.203318447743026</c:v>
                </c:pt>
              </c:numCache>
            </c:numRef>
          </c:xVal>
          <c:yVal>
            <c:numRef>
              <c:f>'one point'!$BB$23:$BB$26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-7.8940671226274288</c:v>
                </c:pt>
                <c:pt idx="2">
                  <c:v>-0.72549073397511343</c:v>
                </c:pt>
                <c:pt idx="3">
                  <c:v>9.7361483698093529</c:v>
                </c:pt>
              </c:numCache>
            </c:numRef>
          </c:yVal>
          <c:smooth val="0"/>
        </c:ser>
        <c:ser>
          <c:idx val="14"/>
          <c:order val="13"/>
          <c:tx>
            <c:v>-7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point'!$BC$23:$BC$26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-7.2625075994638832</c:v>
                </c:pt>
                <c:pt idx="2">
                  <c:v>9.9116968147678541</c:v>
                </c:pt>
                <c:pt idx="3">
                  <c:v>19.135938634626992</c:v>
                </c:pt>
              </c:numCache>
            </c:numRef>
          </c:xVal>
          <c:yVal>
            <c:numRef>
              <c:f>'one point'!$BD$23:$BD$26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-6.8742987546170387</c:v>
                </c:pt>
                <c:pt idx="2">
                  <c:v>-1.3259963243240132</c:v>
                </c:pt>
                <c:pt idx="3">
                  <c:v>9.6675042291092748</c:v>
                </c:pt>
              </c:numCache>
            </c:numRef>
          </c:yVal>
          <c:smooth val="0"/>
        </c:ser>
        <c:ser>
          <c:idx val="15"/>
          <c:order val="14"/>
          <c:tx>
            <c:v>-6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point'!$BE$23:$BE$26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-8.1034959998748306</c:v>
                </c:pt>
                <c:pt idx="2">
                  <c:v>9.874038632008741</c:v>
                </c:pt>
                <c:pt idx="3">
                  <c:v>23.451042814474889</c:v>
                </c:pt>
              </c:numCache>
            </c:numRef>
          </c:xVal>
          <c:yVal>
            <c:numRef>
              <c:f>'one point'!$BF$23:$BF$26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-5.8594669194400799</c:v>
                </c:pt>
                <c:pt idx="2">
                  <c:v>-1.5822013442033771</c:v>
                </c:pt>
                <c:pt idx="3">
                  <c:v>9.5921838054780064</c:v>
                </c:pt>
              </c:numCache>
            </c:numRef>
          </c:yVal>
          <c:smooth val="0"/>
        </c:ser>
        <c:ser>
          <c:idx val="16"/>
          <c:order val="15"/>
          <c:tx>
            <c:v>-5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point'!$BG$23:$BG$26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-8.7461970713939596</c:v>
                </c:pt>
                <c:pt idx="2">
                  <c:v>9.8687289951949548</c:v>
                </c:pt>
                <c:pt idx="3">
                  <c:v>28.584038050503448</c:v>
                </c:pt>
              </c:numCache>
            </c:numRef>
          </c:xVal>
          <c:yVal>
            <c:numRef>
              <c:f>'one point'!$BH$23:$BH$26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-4.8480962024633705</c:v>
                </c:pt>
                <c:pt idx="2">
                  <c:v>-1.6149885508567567</c:v>
                </c:pt>
                <c:pt idx="3">
                  <c:v>9.5025870403568966</c:v>
                </c:pt>
              </c:numCache>
            </c:numRef>
          </c:yVal>
          <c:smooth val="0"/>
        </c:ser>
        <c:ser>
          <c:idx val="17"/>
          <c:order val="16"/>
          <c:tx>
            <c:v>-4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point'!$BI$23:$BI$26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-9.2335651187117218</c:v>
                </c:pt>
                <c:pt idx="2">
                  <c:v>9.8882318372433158</c:v>
                </c:pt>
                <c:pt idx="3">
                  <c:v>35.287661854970523</c:v>
                </c:pt>
              </c:numCache>
            </c:numRef>
          </c:xVal>
          <c:yVal>
            <c:numRef>
              <c:f>'one point'!$BJ$23:$BJ$26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-3.8394368335095925</c:v>
                </c:pt>
                <c:pt idx="2">
                  <c:v>-1.4909296203804161</c:v>
                </c:pt>
                <c:pt idx="3">
                  <c:v>9.3855748515955799</c:v>
                </c:pt>
              </c:numCache>
            </c:numRef>
          </c:yVal>
          <c:smooth val="0"/>
        </c:ser>
        <c:ser>
          <c:idx val="18"/>
          <c:order val="17"/>
          <c:tx>
            <c:v>-3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point'!$BK$23:$BK$26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-9.5902963378724664</c:v>
                </c:pt>
                <c:pt idx="2">
                  <c:v>9.9210843397251036</c:v>
                </c:pt>
                <c:pt idx="3">
                  <c:v>45.274559193764482</c:v>
                </c:pt>
              </c:numCache>
            </c:numRef>
          </c:xVal>
          <c:yVal>
            <c:numRef>
              <c:f>'one point'!$BL$23:$BL$26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-2.833057738873312</c:v>
                </c:pt>
                <c:pt idx="2">
                  <c:v>-1.253828347127844</c:v>
                </c:pt>
                <c:pt idx="3">
                  <c:v>9.211252910115487</c:v>
                </c:pt>
              </c:numCache>
            </c:numRef>
          </c:yVal>
          <c:smooth val="0"/>
        </c:ser>
        <c:ser>
          <c:idx val="19"/>
          <c:order val="18"/>
          <c:tx>
            <c:v>-2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'one point'!$BM$23:$BM$26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-9.8313715073984955</c:v>
                </c:pt>
                <c:pt idx="2">
                  <c:v>9.956011842197201</c:v>
                </c:pt>
                <c:pt idx="3">
                  <c:v>63.678646644533103</c:v>
                </c:pt>
              </c:numCache>
            </c:numRef>
          </c:xVal>
          <c:yVal>
            <c:numRef>
              <c:f>'one point'!$BN$23:$BN$26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-1.8286974280927462</c:v>
                </c:pt>
                <c:pt idx="2">
                  <c:v>-0.93692486253119778</c:v>
                </c:pt>
                <c:pt idx="3">
                  <c:v>8.8900083687177265</c:v>
                </c:pt>
              </c:numCache>
            </c:numRef>
          </c:yVal>
          <c:smooth val="0"/>
        </c:ser>
        <c:ser>
          <c:idx val="20"/>
          <c:order val="19"/>
          <c:tx>
            <c:v>-1</c:v>
          </c:tx>
          <c:marker>
            <c:symbol val="none"/>
          </c:marker>
          <c:dPt>
            <c:idx val="1"/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2"/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3"/>
            <c:bubble3D val="0"/>
            <c:spPr>
              <a:ln>
                <a:solidFill>
                  <a:srgbClr val="FF0000"/>
                </a:solidFill>
              </a:ln>
            </c:spPr>
          </c:dPt>
          <c:xVal>
            <c:numRef>
              <c:f>'one point'!$BO$23:$BO$26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-9.9658113634434713</c:v>
                </c:pt>
                <c:pt idx="2">
                  <c:v>9.983828544955534</c:v>
                </c:pt>
                <c:pt idx="3">
                  <c:v>116.20556942491585</c:v>
                </c:pt>
              </c:numCache>
            </c:numRef>
          </c:xVal>
          <c:yVal>
            <c:numRef>
              <c:f>'one point'!$BP$23:$BP$26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-0.82619844363263328</c:v>
                </c:pt>
                <c:pt idx="2">
                  <c:v>-0.56847830647356168</c:v>
                </c:pt>
                <c:pt idx="3">
                  <c:v>7.9731475211066742</c:v>
                </c:pt>
              </c:numCache>
            </c:numRef>
          </c:yVal>
          <c:smooth val="0"/>
        </c:ser>
        <c:ser>
          <c:idx val="23"/>
          <c:order val="20"/>
          <c:spPr>
            <a:ln>
              <a:solidFill>
                <a:srgbClr val="002060"/>
              </a:solidFill>
            </a:ln>
          </c:spPr>
          <c:marker>
            <c:symbol val="none"/>
          </c:marker>
          <c:xVal>
            <c:numRef>
              <c:f>parallel!$AN$8:$AN$209</c:f>
              <c:numCache>
                <c:formatCode>General</c:formatCode>
                <c:ptCount val="202"/>
                <c:pt idx="0">
                  <c:v>-10</c:v>
                </c:pt>
                <c:pt idx="1">
                  <c:v>-9.9</c:v>
                </c:pt>
                <c:pt idx="2">
                  <c:v>-9.8000000000000007</c:v>
                </c:pt>
                <c:pt idx="3">
                  <c:v>-9.6999999999999993</c:v>
                </c:pt>
                <c:pt idx="4">
                  <c:v>-9.6</c:v>
                </c:pt>
                <c:pt idx="5">
                  <c:v>-9.5</c:v>
                </c:pt>
                <c:pt idx="6">
                  <c:v>-9.4</c:v>
                </c:pt>
                <c:pt idx="7">
                  <c:v>-9.3000000000000007</c:v>
                </c:pt>
                <c:pt idx="8">
                  <c:v>-9.1999999999999993</c:v>
                </c:pt>
                <c:pt idx="9">
                  <c:v>-9.1</c:v>
                </c:pt>
                <c:pt idx="10">
                  <c:v>-9</c:v>
                </c:pt>
                <c:pt idx="11">
                  <c:v>-8.9</c:v>
                </c:pt>
                <c:pt idx="12">
                  <c:v>-8.8000000000000007</c:v>
                </c:pt>
                <c:pt idx="13">
                  <c:v>-8.6999999999999993</c:v>
                </c:pt>
                <c:pt idx="14">
                  <c:v>-8.6</c:v>
                </c:pt>
                <c:pt idx="15">
                  <c:v>-8.5</c:v>
                </c:pt>
                <c:pt idx="16">
                  <c:v>-8.4</c:v>
                </c:pt>
                <c:pt idx="17">
                  <c:v>-8.3000000000000007</c:v>
                </c:pt>
                <c:pt idx="18">
                  <c:v>-8.1999999999999993</c:v>
                </c:pt>
                <c:pt idx="19">
                  <c:v>-8.1</c:v>
                </c:pt>
                <c:pt idx="20">
                  <c:v>-8</c:v>
                </c:pt>
                <c:pt idx="21">
                  <c:v>-7.9</c:v>
                </c:pt>
                <c:pt idx="22">
                  <c:v>-7.8</c:v>
                </c:pt>
                <c:pt idx="23">
                  <c:v>-7.6999999999999993</c:v>
                </c:pt>
                <c:pt idx="24">
                  <c:v>-7.6</c:v>
                </c:pt>
                <c:pt idx="25">
                  <c:v>-7.5</c:v>
                </c:pt>
                <c:pt idx="26">
                  <c:v>-7.4</c:v>
                </c:pt>
                <c:pt idx="27">
                  <c:v>-7.3</c:v>
                </c:pt>
                <c:pt idx="28">
                  <c:v>-7.1999999999999993</c:v>
                </c:pt>
                <c:pt idx="29">
                  <c:v>-7.1</c:v>
                </c:pt>
                <c:pt idx="30">
                  <c:v>-7</c:v>
                </c:pt>
                <c:pt idx="31">
                  <c:v>-6.9</c:v>
                </c:pt>
                <c:pt idx="32">
                  <c:v>-6.8</c:v>
                </c:pt>
                <c:pt idx="33">
                  <c:v>-6.6999999999999993</c:v>
                </c:pt>
                <c:pt idx="34">
                  <c:v>-6.6</c:v>
                </c:pt>
                <c:pt idx="35">
                  <c:v>-6.5</c:v>
                </c:pt>
                <c:pt idx="36">
                  <c:v>-6.4</c:v>
                </c:pt>
                <c:pt idx="37">
                  <c:v>-6.3</c:v>
                </c:pt>
                <c:pt idx="38">
                  <c:v>-6.1999999999999993</c:v>
                </c:pt>
                <c:pt idx="39">
                  <c:v>-6.1</c:v>
                </c:pt>
                <c:pt idx="40">
                  <c:v>-6</c:v>
                </c:pt>
                <c:pt idx="41">
                  <c:v>-5.8999999999999995</c:v>
                </c:pt>
                <c:pt idx="42">
                  <c:v>-5.8</c:v>
                </c:pt>
                <c:pt idx="43">
                  <c:v>-5.7</c:v>
                </c:pt>
                <c:pt idx="44">
                  <c:v>-5.6</c:v>
                </c:pt>
                <c:pt idx="45">
                  <c:v>-5.5</c:v>
                </c:pt>
                <c:pt idx="46">
                  <c:v>-5.3999999999999995</c:v>
                </c:pt>
                <c:pt idx="47">
                  <c:v>-5.3</c:v>
                </c:pt>
                <c:pt idx="48">
                  <c:v>-5.1999999999999993</c:v>
                </c:pt>
                <c:pt idx="49">
                  <c:v>-5.0999999999999996</c:v>
                </c:pt>
                <c:pt idx="50">
                  <c:v>-5</c:v>
                </c:pt>
                <c:pt idx="51">
                  <c:v>-4.8999999999999995</c:v>
                </c:pt>
                <c:pt idx="52">
                  <c:v>-4.8</c:v>
                </c:pt>
                <c:pt idx="53">
                  <c:v>-4.6999999999999993</c:v>
                </c:pt>
                <c:pt idx="54">
                  <c:v>-4.5999999999999996</c:v>
                </c:pt>
                <c:pt idx="55">
                  <c:v>-4.5</c:v>
                </c:pt>
                <c:pt idx="56">
                  <c:v>-4.3999999999999995</c:v>
                </c:pt>
                <c:pt idx="57">
                  <c:v>-4.3</c:v>
                </c:pt>
                <c:pt idx="58">
                  <c:v>-4.1999999999999993</c:v>
                </c:pt>
                <c:pt idx="59">
                  <c:v>-4.0999999999999996</c:v>
                </c:pt>
                <c:pt idx="60">
                  <c:v>-4</c:v>
                </c:pt>
                <c:pt idx="61">
                  <c:v>-3.8999999999999995</c:v>
                </c:pt>
                <c:pt idx="62">
                  <c:v>-3.8</c:v>
                </c:pt>
                <c:pt idx="63">
                  <c:v>-3.6999999999999993</c:v>
                </c:pt>
                <c:pt idx="64">
                  <c:v>-3.5999999999999996</c:v>
                </c:pt>
                <c:pt idx="65">
                  <c:v>-3.5</c:v>
                </c:pt>
                <c:pt idx="66">
                  <c:v>-3.3999999999999995</c:v>
                </c:pt>
                <c:pt idx="67">
                  <c:v>-3.3</c:v>
                </c:pt>
                <c:pt idx="68">
                  <c:v>-3.1999999999999993</c:v>
                </c:pt>
                <c:pt idx="69">
                  <c:v>-3.0999999999999996</c:v>
                </c:pt>
                <c:pt idx="70">
                  <c:v>-3</c:v>
                </c:pt>
                <c:pt idx="71">
                  <c:v>-2.8999999999999995</c:v>
                </c:pt>
                <c:pt idx="72">
                  <c:v>-2.8</c:v>
                </c:pt>
                <c:pt idx="73">
                  <c:v>-2.6999999999999993</c:v>
                </c:pt>
                <c:pt idx="74">
                  <c:v>-2.5999999999999996</c:v>
                </c:pt>
                <c:pt idx="75">
                  <c:v>-2.5</c:v>
                </c:pt>
                <c:pt idx="76">
                  <c:v>-2.3999999999999995</c:v>
                </c:pt>
                <c:pt idx="77">
                  <c:v>-2.2999999999999998</c:v>
                </c:pt>
                <c:pt idx="78">
                  <c:v>-2.1999999999999993</c:v>
                </c:pt>
                <c:pt idx="79">
                  <c:v>-2.0999999999999996</c:v>
                </c:pt>
                <c:pt idx="80">
                  <c:v>-2</c:v>
                </c:pt>
                <c:pt idx="81">
                  <c:v>-1.9000000000000004</c:v>
                </c:pt>
                <c:pt idx="82">
                  <c:v>-1.7999999999999989</c:v>
                </c:pt>
                <c:pt idx="83">
                  <c:v>-1.6999999999999993</c:v>
                </c:pt>
                <c:pt idx="84">
                  <c:v>-1.5999999999999996</c:v>
                </c:pt>
                <c:pt idx="85">
                  <c:v>-1.5</c:v>
                </c:pt>
                <c:pt idx="86">
                  <c:v>-1.4000000000000004</c:v>
                </c:pt>
                <c:pt idx="87">
                  <c:v>-1.2999999999999989</c:v>
                </c:pt>
                <c:pt idx="88">
                  <c:v>-1.1999999999999993</c:v>
                </c:pt>
                <c:pt idx="89">
                  <c:v>-1.0999999999999996</c:v>
                </c:pt>
                <c:pt idx="90">
                  <c:v>-1</c:v>
                </c:pt>
                <c:pt idx="91">
                  <c:v>-0.90000000000000036</c:v>
                </c:pt>
                <c:pt idx="92">
                  <c:v>-0.79999999999999893</c:v>
                </c:pt>
                <c:pt idx="93">
                  <c:v>-0.69999999999999929</c:v>
                </c:pt>
                <c:pt idx="94">
                  <c:v>-0.59999999999999964</c:v>
                </c:pt>
                <c:pt idx="95">
                  <c:v>-0.5</c:v>
                </c:pt>
                <c:pt idx="96">
                  <c:v>-0.39999999999999858</c:v>
                </c:pt>
                <c:pt idx="97">
                  <c:v>-0.29999999999999893</c:v>
                </c:pt>
                <c:pt idx="98">
                  <c:v>-0.19999999999999929</c:v>
                </c:pt>
                <c:pt idx="99">
                  <c:v>-9.9999999999999645E-2</c:v>
                </c:pt>
                <c:pt idx="100">
                  <c:v>0</c:v>
                </c:pt>
                <c:pt idx="101">
                  <c:v>0.10000000000000142</c:v>
                </c:pt>
                <c:pt idx="102">
                  <c:v>0.20000000000000107</c:v>
                </c:pt>
                <c:pt idx="103">
                  <c:v>0.30000000000000071</c:v>
                </c:pt>
                <c:pt idx="104">
                  <c:v>0.40000000000000036</c:v>
                </c:pt>
                <c:pt idx="105">
                  <c:v>0.5</c:v>
                </c:pt>
                <c:pt idx="106">
                  <c:v>0.60000000000000142</c:v>
                </c:pt>
                <c:pt idx="107">
                  <c:v>0.70000000000000107</c:v>
                </c:pt>
                <c:pt idx="108">
                  <c:v>0.80000000000000071</c:v>
                </c:pt>
                <c:pt idx="109">
                  <c:v>0.90000000000000036</c:v>
                </c:pt>
                <c:pt idx="110">
                  <c:v>1</c:v>
                </c:pt>
                <c:pt idx="111">
                  <c:v>1.1000000000000014</c:v>
                </c:pt>
                <c:pt idx="112">
                  <c:v>1.2000000000000011</c:v>
                </c:pt>
                <c:pt idx="113">
                  <c:v>1.3000000000000007</c:v>
                </c:pt>
                <c:pt idx="114">
                  <c:v>1.4000000000000004</c:v>
                </c:pt>
                <c:pt idx="115">
                  <c:v>1.5</c:v>
                </c:pt>
                <c:pt idx="116">
                  <c:v>1.6000000000000014</c:v>
                </c:pt>
                <c:pt idx="117">
                  <c:v>1.7000000000000011</c:v>
                </c:pt>
                <c:pt idx="118">
                  <c:v>1.8000000000000007</c:v>
                </c:pt>
                <c:pt idx="119">
                  <c:v>1.9000000000000004</c:v>
                </c:pt>
                <c:pt idx="120">
                  <c:v>2</c:v>
                </c:pt>
                <c:pt idx="121">
                  <c:v>2.1000000000000014</c:v>
                </c:pt>
                <c:pt idx="122">
                  <c:v>2.2000000000000011</c:v>
                </c:pt>
                <c:pt idx="123">
                  <c:v>2.3000000000000007</c:v>
                </c:pt>
                <c:pt idx="124">
                  <c:v>2.4000000000000004</c:v>
                </c:pt>
                <c:pt idx="125">
                  <c:v>2.5</c:v>
                </c:pt>
                <c:pt idx="126">
                  <c:v>2.6000000000000014</c:v>
                </c:pt>
                <c:pt idx="127">
                  <c:v>2.7000000000000011</c:v>
                </c:pt>
                <c:pt idx="128">
                  <c:v>2.8000000000000007</c:v>
                </c:pt>
                <c:pt idx="129">
                  <c:v>2.9000000000000004</c:v>
                </c:pt>
                <c:pt idx="130">
                  <c:v>3</c:v>
                </c:pt>
                <c:pt idx="131">
                  <c:v>3.1000000000000014</c:v>
                </c:pt>
                <c:pt idx="132">
                  <c:v>3.2000000000000011</c:v>
                </c:pt>
                <c:pt idx="133">
                  <c:v>3.3000000000000007</c:v>
                </c:pt>
                <c:pt idx="134">
                  <c:v>3.4000000000000004</c:v>
                </c:pt>
                <c:pt idx="135">
                  <c:v>3.5</c:v>
                </c:pt>
                <c:pt idx="136">
                  <c:v>3.6000000000000014</c:v>
                </c:pt>
                <c:pt idx="137">
                  <c:v>3.7000000000000011</c:v>
                </c:pt>
                <c:pt idx="138">
                  <c:v>3.8000000000000007</c:v>
                </c:pt>
                <c:pt idx="139">
                  <c:v>3.9000000000000004</c:v>
                </c:pt>
                <c:pt idx="140">
                  <c:v>4</c:v>
                </c:pt>
                <c:pt idx="141">
                  <c:v>4.1000000000000014</c:v>
                </c:pt>
                <c:pt idx="142">
                  <c:v>4.2000000000000011</c:v>
                </c:pt>
                <c:pt idx="143">
                  <c:v>4.3000000000000007</c:v>
                </c:pt>
                <c:pt idx="144">
                  <c:v>4.4000000000000004</c:v>
                </c:pt>
                <c:pt idx="145">
                  <c:v>4.5</c:v>
                </c:pt>
                <c:pt idx="146">
                  <c:v>4.6000000000000014</c:v>
                </c:pt>
                <c:pt idx="147">
                  <c:v>4.7000000000000011</c:v>
                </c:pt>
                <c:pt idx="148">
                  <c:v>4.8000000000000007</c:v>
                </c:pt>
                <c:pt idx="149">
                  <c:v>4.9000000000000004</c:v>
                </c:pt>
                <c:pt idx="150">
                  <c:v>5</c:v>
                </c:pt>
                <c:pt idx="151">
                  <c:v>5.1000000000000014</c:v>
                </c:pt>
                <c:pt idx="152">
                  <c:v>5.2000000000000011</c:v>
                </c:pt>
                <c:pt idx="153">
                  <c:v>5.3000000000000007</c:v>
                </c:pt>
                <c:pt idx="154">
                  <c:v>5.4</c:v>
                </c:pt>
                <c:pt idx="155">
                  <c:v>5.5</c:v>
                </c:pt>
                <c:pt idx="156">
                  <c:v>5.6000000000000014</c:v>
                </c:pt>
                <c:pt idx="157">
                  <c:v>5.7000000000000011</c:v>
                </c:pt>
                <c:pt idx="158">
                  <c:v>5.8000000000000007</c:v>
                </c:pt>
                <c:pt idx="159">
                  <c:v>5.9</c:v>
                </c:pt>
                <c:pt idx="160">
                  <c:v>6</c:v>
                </c:pt>
                <c:pt idx="161">
                  <c:v>6.1000000000000014</c:v>
                </c:pt>
                <c:pt idx="162">
                  <c:v>6.1999999999999993</c:v>
                </c:pt>
                <c:pt idx="163">
                  <c:v>6.3000000000000007</c:v>
                </c:pt>
                <c:pt idx="164">
                  <c:v>6.4000000000000021</c:v>
                </c:pt>
                <c:pt idx="165">
                  <c:v>6.5</c:v>
                </c:pt>
                <c:pt idx="166">
                  <c:v>6.6000000000000014</c:v>
                </c:pt>
                <c:pt idx="167">
                  <c:v>6.6999999999999993</c:v>
                </c:pt>
                <c:pt idx="168">
                  <c:v>6.8000000000000007</c:v>
                </c:pt>
                <c:pt idx="169">
                  <c:v>6.9000000000000021</c:v>
                </c:pt>
                <c:pt idx="170">
                  <c:v>7</c:v>
                </c:pt>
                <c:pt idx="171">
                  <c:v>7.1000000000000014</c:v>
                </c:pt>
                <c:pt idx="172">
                  <c:v>7.1999999999999993</c:v>
                </c:pt>
                <c:pt idx="173">
                  <c:v>7.3000000000000007</c:v>
                </c:pt>
                <c:pt idx="174">
                  <c:v>7.4000000000000021</c:v>
                </c:pt>
                <c:pt idx="175">
                  <c:v>7.5</c:v>
                </c:pt>
                <c:pt idx="176">
                  <c:v>7.6000000000000014</c:v>
                </c:pt>
                <c:pt idx="177">
                  <c:v>7.6999999999999993</c:v>
                </c:pt>
                <c:pt idx="178">
                  <c:v>7.8000000000000007</c:v>
                </c:pt>
                <c:pt idx="179">
                  <c:v>7.9000000000000021</c:v>
                </c:pt>
                <c:pt idx="180">
                  <c:v>8</c:v>
                </c:pt>
                <c:pt idx="181">
                  <c:v>8.1000000000000014</c:v>
                </c:pt>
                <c:pt idx="182">
                  <c:v>8.1999999999999993</c:v>
                </c:pt>
                <c:pt idx="183">
                  <c:v>8.3000000000000007</c:v>
                </c:pt>
                <c:pt idx="184">
                  <c:v>8.4000000000000021</c:v>
                </c:pt>
                <c:pt idx="185">
                  <c:v>8.5</c:v>
                </c:pt>
                <c:pt idx="186">
                  <c:v>8.6000000000000014</c:v>
                </c:pt>
                <c:pt idx="187">
                  <c:v>8.6999999999999993</c:v>
                </c:pt>
                <c:pt idx="188">
                  <c:v>8.8000000000000007</c:v>
                </c:pt>
                <c:pt idx="189">
                  <c:v>8.9000000000000021</c:v>
                </c:pt>
                <c:pt idx="190">
                  <c:v>9</c:v>
                </c:pt>
                <c:pt idx="191">
                  <c:v>9.1000000000000014</c:v>
                </c:pt>
                <c:pt idx="192">
                  <c:v>9.2000000000000028</c:v>
                </c:pt>
                <c:pt idx="193">
                  <c:v>9.3000000000000007</c:v>
                </c:pt>
                <c:pt idx="194">
                  <c:v>9.4000000000000021</c:v>
                </c:pt>
                <c:pt idx="195">
                  <c:v>9.5</c:v>
                </c:pt>
                <c:pt idx="196">
                  <c:v>9.6000000000000014</c:v>
                </c:pt>
                <c:pt idx="197">
                  <c:v>9.7000000000000028</c:v>
                </c:pt>
                <c:pt idx="198">
                  <c:v>9.8000000000000007</c:v>
                </c:pt>
                <c:pt idx="199">
                  <c:v>9.9000000000000021</c:v>
                </c:pt>
                <c:pt idx="200">
                  <c:v>10</c:v>
                </c:pt>
                <c:pt idx="201">
                  <c:v>10.100000000000001</c:v>
                </c:pt>
              </c:numCache>
            </c:numRef>
          </c:xVal>
          <c:yVal>
            <c:numRef>
              <c:f>parallel!$AO$8:$AO$209</c:f>
              <c:numCache>
                <c:formatCode>General</c:formatCode>
                <c:ptCount val="202"/>
                <c:pt idx="0">
                  <c:v>0</c:v>
                </c:pt>
                <c:pt idx="1">
                  <c:v>1.4106735979665865</c:v>
                </c:pt>
                <c:pt idx="2">
                  <c:v>1.9899748742132348</c:v>
                </c:pt>
                <c:pt idx="3">
                  <c:v>2.4310491562286458</c:v>
                </c:pt>
                <c:pt idx="4">
                  <c:v>2.8000000000000007</c:v>
                </c:pt>
                <c:pt idx="5">
                  <c:v>3.1224989991991992</c:v>
                </c:pt>
                <c:pt idx="6">
                  <c:v>3.4117444218463944</c:v>
                </c:pt>
                <c:pt idx="7">
                  <c:v>3.6755951898978201</c:v>
                </c:pt>
                <c:pt idx="8">
                  <c:v>3.9191835884530866</c:v>
                </c:pt>
                <c:pt idx="9">
                  <c:v>4.1460824883255771</c:v>
                </c:pt>
                <c:pt idx="10">
                  <c:v>4.358898943540674</c:v>
                </c:pt>
                <c:pt idx="11">
                  <c:v>4.5596052460711984</c:v>
                </c:pt>
                <c:pt idx="12">
                  <c:v>4.7497368348151658</c:v>
                </c:pt>
                <c:pt idx="13">
                  <c:v>4.9305172142484217</c:v>
                </c:pt>
                <c:pt idx="14">
                  <c:v>5.1029403288692299</c:v>
                </c:pt>
                <c:pt idx="15">
                  <c:v>5.2678268764263692</c:v>
                </c:pt>
                <c:pt idx="16">
                  <c:v>5.4258639865002145</c:v>
                </c:pt>
                <c:pt idx="17">
                  <c:v>5.5776339069537348</c:v>
                </c:pt>
                <c:pt idx="18">
                  <c:v>5.7236352085016744</c:v>
                </c:pt>
                <c:pt idx="19">
                  <c:v>5.8642987645583</c:v>
                </c:pt>
                <c:pt idx="20">
                  <c:v>6</c:v>
                </c:pt>
                <c:pt idx="21">
                  <c:v>6.1310684223877319</c:v>
                </c:pt>
                <c:pt idx="22">
                  <c:v>6.2577951388648065</c:v>
                </c:pt>
                <c:pt idx="23">
                  <c:v>6.3804388563797092</c:v>
                </c:pt>
                <c:pt idx="24">
                  <c:v>6.4992307237087683</c:v>
                </c:pt>
                <c:pt idx="25">
                  <c:v>6.6143782776614763</c:v>
                </c:pt>
                <c:pt idx="26">
                  <c:v>6.726068688320094</c:v>
                </c:pt>
                <c:pt idx="27">
                  <c:v>6.8344714499367107</c:v>
                </c:pt>
                <c:pt idx="28">
                  <c:v>6.9397406291589894</c:v>
                </c:pt>
                <c:pt idx="29">
                  <c:v>7.0420167565833021</c:v>
                </c:pt>
                <c:pt idx="30">
                  <c:v>7.1414284285428504</c:v>
                </c:pt>
                <c:pt idx="31">
                  <c:v>7.2380936716790281</c:v>
                </c:pt>
                <c:pt idx="32">
                  <c:v>7.3321211119293448</c:v>
                </c:pt>
                <c:pt idx="33">
                  <c:v>7.4236109811869859</c:v>
                </c:pt>
                <c:pt idx="34">
                  <c:v>7.5126559883971797</c:v>
                </c:pt>
                <c:pt idx="35">
                  <c:v>7.5993420767853319</c:v>
                </c:pt>
                <c:pt idx="36">
                  <c:v>7.6837490849194179</c:v>
                </c:pt>
                <c:pt idx="37">
                  <c:v>7.7659513261415691</c:v>
                </c:pt>
                <c:pt idx="38">
                  <c:v>7.8460180983732126</c:v>
                </c:pt>
                <c:pt idx="39">
                  <c:v>7.9240141342630128</c:v>
                </c:pt>
                <c:pt idx="40">
                  <c:v>8</c:v>
                </c:pt>
                <c:pt idx="41">
                  <c:v>8.0740324497737799</c:v>
                </c:pt>
                <c:pt idx="42">
                  <c:v>8.1461647417665208</c:v>
                </c:pt>
                <c:pt idx="43">
                  <c:v>8.2164469206585871</c:v>
                </c:pt>
                <c:pt idx="44">
                  <c:v>8.2849260708831913</c:v>
                </c:pt>
                <c:pt idx="45">
                  <c:v>8.3516465442450336</c:v>
                </c:pt>
                <c:pt idx="46">
                  <c:v>8.4166501650003251</c:v>
                </c:pt>
                <c:pt idx="47">
                  <c:v>8.4799764150615413</c:v>
                </c:pt>
                <c:pt idx="48">
                  <c:v>8.541662601625049</c:v>
                </c:pt>
                <c:pt idx="49">
                  <c:v>8.6017440092111563</c:v>
                </c:pt>
                <c:pt idx="50">
                  <c:v>8.6602540378443873</c:v>
                </c:pt>
                <c:pt idx="51">
                  <c:v>8.7172243288790039</c:v>
                </c:pt>
                <c:pt idx="52">
                  <c:v>8.7726848797845243</c:v>
                </c:pt>
                <c:pt idx="53">
                  <c:v>8.8266641490429443</c:v>
                </c:pt>
                <c:pt idx="54">
                  <c:v>8.8791891521692463</c:v>
                </c:pt>
                <c:pt idx="55">
                  <c:v>8.9302855497458751</c:v>
                </c:pt>
                <c:pt idx="56">
                  <c:v>8.9799777282574595</c:v>
                </c:pt>
                <c:pt idx="57">
                  <c:v>9.0282888744213317</c:v>
                </c:pt>
                <c:pt idx="58">
                  <c:v>9.0752410436307436</c:v>
                </c:pt>
                <c:pt idx="59">
                  <c:v>9.1208552230588555</c:v>
                </c:pt>
                <c:pt idx="60">
                  <c:v>9.1651513899116797</c:v>
                </c:pt>
                <c:pt idx="61">
                  <c:v>9.2081485652654411</c:v>
                </c:pt>
                <c:pt idx="62">
                  <c:v>9.2498648638777414</c:v>
                </c:pt>
                <c:pt idx="63">
                  <c:v>9.2903175403212135</c:v>
                </c:pt>
                <c:pt idx="64">
                  <c:v>9.3295230317524815</c:v>
                </c:pt>
                <c:pt idx="65">
                  <c:v>9.3674969975975966</c:v>
                </c:pt>
                <c:pt idx="66">
                  <c:v>9.404254356406998</c:v>
                </c:pt>
                <c:pt idx="67">
                  <c:v>9.4398093201081128</c:v>
                </c:pt>
                <c:pt idx="68">
                  <c:v>9.4741754258616098</c:v>
                </c:pt>
                <c:pt idx="69">
                  <c:v>9.5073655657074632</c:v>
                </c:pt>
                <c:pt idx="70">
                  <c:v>9.5393920141694561</c:v>
                </c:pt>
                <c:pt idx="71">
                  <c:v>9.5702664539708611</c:v>
                </c:pt>
                <c:pt idx="72">
                  <c:v>9.6</c:v>
                </c:pt>
                <c:pt idx="73">
                  <c:v>9.6286032216516233</c:v>
                </c:pt>
                <c:pt idx="74">
                  <c:v>9.6560861636586495</c:v>
                </c:pt>
                <c:pt idx="75">
                  <c:v>9.6824583655185421</c:v>
                </c:pt>
                <c:pt idx="76">
                  <c:v>9.7077288796092773</c:v>
                </c:pt>
                <c:pt idx="77">
                  <c:v>9.7319062880814879</c:v>
                </c:pt>
                <c:pt idx="78">
                  <c:v>9.7549987186057585</c:v>
                </c:pt>
                <c:pt idx="79">
                  <c:v>9.7770138590471483</c:v>
                </c:pt>
                <c:pt idx="80">
                  <c:v>9.7979589711327115</c:v>
                </c:pt>
                <c:pt idx="81">
                  <c:v>9.8178409031721436</c:v>
                </c:pt>
                <c:pt idx="82">
                  <c:v>9.836666101886351</c:v>
                </c:pt>
                <c:pt idx="83">
                  <c:v>9.8544406233941046</c:v>
                </c:pt>
                <c:pt idx="84">
                  <c:v>9.8711701434024519</c:v>
                </c:pt>
                <c:pt idx="85">
                  <c:v>9.8868599666425947</c:v>
                </c:pt>
                <c:pt idx="86">
                  <c:v>9.9015150355892505</c:v>
                </c:pt>
                <c:pt idx="87">
                  <c:v>9.9151399384980952</c:v>
                </c:pt>
                <c:pt idx="88">
                  <c:v>9.9277389167926859</c:v>
                </c:pt>
                <c:pt idx="89">
                  <c:v>9.9393158718294092</c:v>
                </c:pt>
                <c:pt idx="90">
                  <c:v>9.9498743710661994</c:v>
                </c:pt>
                <c:pt idx="91">
                  <c:v>9.959417653658269</c:v>
                </c:pt>
                <c:pt idx="92">
                  <c:v>9.9679486355016902</c:v>
                </c:pt>
                <c:pt idx="93">
                  <c:v>9.975469913743412</c:v>
                </c:pt>
                <c:pt idx="94">
                  <c:v>9.9819837707742245</c:v>
                </c:pt>
                <c:pt idx="95">
                  <c:v>9.9874921777190888</c:v>
                </c:pt>
                <c:pt idx="96">
                  <c:v>9.9919967974374373</c:v>
                </c:pt>
                <c:pt idx="97">
                  <c:v>9.9954989870441189</c:v>
                </c:pt>
                <c:pt idx="98">
                  <c:v>9.9979997999599899</c:v>
                </c:pt>
                <c:pt idx="99">
                  <c:v>9.9994999874993749</c:v>
                </c:pt>
                <c:pt idx="100">
                  <c:v>10</c:v>
                </c:pt>
                <c:pt idx="101">
                  <c:v>9.9994999874993749</c:v>
                </c:pt>
                <c:pt idx="102">
                  <c:v>9.9979997999599899</c:v>
                </c:pt>
                <c:pt idx="103">
                  <c:v>9.9954989870441189</c:v>
                </c:pt>
                <c:pt idx="104">
                  <c:v>9.9919967974374373</c:v>
                </c:pt>
                <c:pt idx="105">
                  <c:v>9.9874921777190888</c:v>
                </c:pt>
                <c:pt idx="106">
                  <c:v>9.9819837707742245</c:v>
                </c:pt>
                <c:pt idx="107">
                  <c:v>9.975469913743412</c:v>
                </c:pt>
                <c:pt idx="108">
                  <c:v>9.9679486355016902</c:v>
                </c:pt>
                <c:pt idx="109">
                  <c:v>9.959417653658269</c:v>
                </c:pt>
                <c:pt idx="110">
                  <c:v>9.9498743710661994</c:v>
                </c:pt>
                <c:pt idx="111">
                  <c:v>9.9393158718294092</c:v>
                </c:pt>
                <c:pt idx="112">
                  <c:v>9.9277389167926859</c:v>
                </c:pt>
                <c:pt idx="113">
                  <c:v>9.9151399384980952</c:v>
                </c:pt>
                <c:pt idx="114">
                  <c:v>9.9015150355892505</c:v>
                </c:pt>
                <c:pt idx="115">
                  <c:v>9.8868599666425947</c:v>
                </c:pt>
                <c:pt idx="116">
                  <c:v>9.8711701434024519</c:v>
                </c:pt>
                <c:pt idx="117">
                  <c:v>9.8544406233941046</c:v>
                </c:pt>
                <c:pt idx="118">
                  <c:v>9.8366661018863493</c:v>
                </c:pt>
                <c:pt idx="119">
                  <c:v>9.8178409031721436</c:v>
                </c:pt>
                <c:pt idx="120">
                  <c:v>9.7979589711327115</c:v>
                </c:pt>
                <c:pt idx="121">
                  <c:v>9.7770138590471465</c:v>
                </c:pt>
                <c:pt idx="122">
                  <c:v>9.7549987186057585</c:v>
                </c:pt>
                <c:pt idx="123">
                  <c:v>9.7319062880814879</c:v>
                </c:pt>
                <c:pt idx="124">
                  <c:v>9.7077288796092773</c:v>
                </c:pt>
                <c:pt idx="125">
                  <c:v>9.6824583655185421</c:v>
                </c:pt>
                <c:pt idx="126">
                  <c:v>9.6560861636586477</c:v>
                </c:pt>
                <c:pt idx="127">
                  <c:v>9.6286032216516215</c:v>
                </c:pt>
                <c:pt idx="128">
                  <c:v>9.6</c:v>
                </c:pt>
                <c:pt idx="129">
                  <c:v>9.5702664539708611</c:v>
                </c:pt>
                <c:pt idx="130">
                  <c:v>9.5393920141694561</c:v>
                </c:pt>
                <c:pt idx="131">
                  <c:v>9.5073655657074632</c:v>
                </c:pt>
                <c:pt idx="132">
                  <c:v>9.474175425861608</c:v>
                </c:pt>
                <c:pt idx="133">
                  <c:v>9.4398093201081128</c:v>
                </c:pt>
                <c:pt idx="134">
                  <c:v>9.404254356406998</c:v>
                </c:pt>
                <c:pt idx="135">
                  <c:v>9.3674969975975966</c:v>
                </c:pt>
                <c:pt idx="136">
                  <c:v>9.3295230317524798</c:v>
                </c:pt>
                <c:pt idx="137">
                  <c:v>9.2903175403212135</c:v>
                </c:pt>
                <c:pt idx="138">
                  <c:v>9.2498648638777414</c:v>
                </c:pt>
                <c:pt idx="139">
                  <c:v>9.2081485652654411</c:v>
                </c:pt>
                <c:pt idx="140">
                  <c:v>9.1651513899116797</c:v>
                </c:pt>
                <c:pt idx="141">
                  <c:v>9.1208552230588538</c:v>
                </c:pt>
                <c:pt idx="142">
                  <c:v>9.0752410436307418</c:v>
                </c:pt>
                <c:pt idx="143">
                  <c:v>9.0282888744213317</c:v>
                </c:pt>
                <c:pt idx="144">
                  <c:v>8.9799777282574595</c:v>
                </c:pt>
                <c:pt idx="145">
                  <c:v>8.9302855497458751</c:v>
                </c:pt>
                <c:pt idx="146">
                  <c:v>8.8791891521692445</c:v>
                </c:pt>
                <c:pt idx="147">
                  <c:v>8.8266641490429443</c:v>
                </c:pt>
                <c:pt idx="148">
                  <c:v>8.7726848797845225</c:v>
                </c:pt>
                <c:pt idx="149">
                  <c:v>8.7172243288790039</c:v>
                </c:pt>
                <c:pt idx="150">
                  <c:v>8.6602540378443873</c:v>
                </c:pt>
                <c:pt idx="151">
                  <c:v>8.6017440092111546</c:v>
                </c:pt>
                <c:pt idx="152">
                  <c:v>8.541662601625049</c:v>
                </c:pt>
                <c:pt idx="153">
                  <c:v>8.4799764150615413</c:v>
                </c:pt>
                <c:pt idx="154">
                  <c:v>8.4166501650003251</c:v>
                </c:pt>
                <c:pt idx="155">
                  <c:v>8.3516465442450336</c:v>
                </c:pt>
                <c:pt idx="156">
                  <c:v>8.2849260708831913</c:v>
                </c:pt>
                <c:pt idx="157">
                  <c:v>8.2164469206585871</c:v>
                </c:pt>
                <c:pt idx="158">
                  <c:v>8.1461647417665191</c:v>
                </c:pt>
                <c:pt idx="159">
                  <c:v>8.0740324497737799</c:v>
                </c:pt>
                <c:pt idx="160">
                  <c:v>8</c:v>
                </c:pt>
                <c:pt idx="161">
                  <c:v>7.9240141342630119</c:v>
                </c:pt>
                <c:pt idx="162">
                  <c:v>7.8460180983732126</c:v>
                </c:pt>
                <c:pt idx="163">
                  <c:v>7.7659513261415682</c:v>
                </c:pt>
                <c:pt idx="164">
                  <c:v>7.6837490849194161</c:v>
                </c:pt>
                <c:pt idx="165">
                  <c:v>7.5993420767853319</c:v>
                </c:pt>
                <c:pt idx="166">
                  <c:v>7.512655988397178</c:v>
                </c:pt>
                <c:pt idx="167">
                  <c:v>7.4236109811869859</c:v>
                </c:pt>
                <c:pt idx="168">
                  <c:v>7.332121111929343</c:v>
                </c:pt>
                <c:pt idx="169">
                  <c:v>7.2380936716790263</c:v>
                </c:pt>
                <c:pt idx="170">
                  <c:v>7.1414284285428504</c:v>
                </c:pt>
                <c:pt idx="171">
                  <c:v>7.0420167565833003</c:v>
                </c:pt>
                <c:pt idx="172">
                  <c:v>6.9397406291589894</c:v>
                </c:pt>
                <c:pt idx="173">
                  <c:v>6.834471449936709</c:v>
                </c:pt>
                <c:pt idx="174">
                  <c:v>6.7260686883200922</c:v>
                </c:pt>
                <c:pt idx="175">
                  <c:v>6.6143782776614763</c:v>
                </c:pt>
                <c:pt idx="176">
                  <c:v>6.4992307237087665</c:v>
                </c:pt>
                <c:pt idx="177">
                  <c:v>6.3804388563797092</c:v>
                </c:pt>
                <c:pt idx="178">
                  <c:v>6.2577951388648057</c:v>
                </c:pt>
                <c:pt idx="179">
                  <c:v>6.1310684223877301</c:v>
                </c:pt>
                <c:pt idx="180">
                  <c:v>6</c:v>
                </c:pt>
                <c:pt idx="181">
                  <c:v>5.8642987645582973</c:v>
                </c:pt>
                <c:pt idx="182">
                  <c:v>5.7236352085016744</c:v>
                </c:pt>
                <c:pt idx="183">
                  <c:v>5.5776339069537348</c:v>
                </c:pt>
                <c:pt idx="184">
                  <c:v>5.4258639865002118</c:v>
                </c:pt>
                <c:pt idx="185">
                  <c:v>5.2678268764263692</c:v>
                </c:pt>
                <c:pt idx="186">
                  <c:v>5.1029403288692272</c:v>
                </c:pt>
                <c:pt idx="187">
                  <c:v>4.9305172142484217</c:v>
                </c:pt>
                <c:pt idx="188">
                  <c:v>4.7497368348151658</c:v>
                </c:pt>
                <c:pt idx="189">
                  <c:v>4.5596052460711949</c:v>
                </c:pt>
                <c:pt idx="190">
                  <c:v>4.358898943540674</c:v>
                </c:pt>
                <c:pt idx="191">
                  <c:v>4.1460824883255727</c:v>
                </c:pt>
                <c:pt idx="192">
                  <c:v>3.9191835884530777</c:v>
                </c:pt>
                <c:pt idx="193">
                  <c:v>3.6755951898978201</c:v>
                </c:pt>
                <c:pt idx="194">
                  <c:v>3.4117444218463899</c:v>
                </c:pt>
                <c:pt idx="195">
                  <c:v>3.1224989991991992</c:v>
                </c:pt>
                <c:pt idx="196">
                  <c:v>2.7999999999999954</c:v>
                </c:pt>
                <c:pt idx="197">
                  <c:v>2.4310491562286312</c:v>
                </c:pt>
                <c:pt idx="198">
                  <c:v>1.9899748742132348</c:v>
                </c:pt>
                <c:pt idx="199">
                  <c:v>1.4106735979665714</c:v>
                </c:pt>
                <c:pt idx="200">
                  <c:v>0</c:v>
                </c:pt>
                <c:pt idx="201">
                  <c:v>0</c:v>
                </c:pt>
              </c:numCache>
            </c:numRef>
          </c:yVal>
          <c:smooth val="1"/>
        </c:ser>
        <c:ser>
          <c:idx val="24"/>
          <c:order val="21"/>
          <c:spPr>
            <a:ln>
              <a:solidFill>
                <a:srgbClr val="002060"/>
              </a:solidFill>
            </a:ln>
          </c:spPr>
          <c:marker>
            <c:symbol val="none"/>
          </c:marker>
          <c:xVal>
            <c:numRef>
              <c:f>parallel!$AN$8:$AN$209</c:f>
              <c:numCache>
                <c:formatCode>General</c:formatCode>
                <c:ptCount val="202"/>
                <c:pt idx="0">
                  <c:v>-10</c:v>
                </c:pt>
                <c:pt idx="1">
                  <c:v>-9.9</c:v>
                </c:pt>
                <c:pt idx="2">
                  <c:v>-9.8000000000000007</c:v>
                </c:pt>
                <c:pt idx="3">
                  <c:v>-9.6999999999999993</c:v>
                </c:pt>
                <c:pt idx="4">
                  <c:v>-9.6</c:v>
                </c:pt>
                <c:pt idx="5">
                  <c:v>-9.5</c:v>
                </c:pt>
                <c:pt idx="6">
                  <c:v>-9.4</c:v>
                </c:pt>
                <c:pt idx="7">
                  <c:v>-9.3000000000000007</c:v>
                </c:pt>
                <c:pt idx="8">
                  <c:v>-9.1999999999999993</c:v>
                </c:pt>
                <c:pt idx="9">
                  <c:v>-9.1</c:v>
                </c:pt>
                <c:pt idx="10">
                  <c:v>-9</c:v>
                </c:pt>
                <c:pt idx="11">
                  <c:v>-8.9</c:v>
                </c:pt>
                <c:pt idx="12">
                  <c:v>-8.8000000000000007</c:v>
                </c:pt>
                <c:pt idx="13">
                  <c:v>-8.6999999999999993</c:v>
                </c:pt>
                <c:pt idx="14">
                  <c:v>-8.6</c:v>
                </c:pt>
                <c:pt idx="15">
                  <c:v>-8.5</c:v>
                </c:pt>
                <c:pt idx="16">
                  <c:v>-8.4</c:v>
                </c:pt>
                <c:pt idx="17">
                  <c:v>-8.3000000000000007</c:v>
                </c:pt>
                <c:pt idx="18">
                  <c:v>-8.1999999999999993</c:v>
                </c:pt>
                <c:pt idx="19">
                  <c:v>-8.1</c:v>
                </c:pt>
                <c:pt idx="20">
                  <c:v>-8</c:v>
                </c:pt>
                <c:pt idx="21">
                  <c:v>-7.9</c:v>
                </c:pt>
                <c:pt idx="22">
                  <c:v>-7.8</c:v>
                </c:pt>
                <c:pt idx="23">
                  <c:v>-7.6999999999999993</c:v>
                </c:pt>
                <c:pt idx="24">
                  <c:v>-7.6</c:v>
                </c:pt>
                <c:pt idx="25">
                  <c:v>-7.5</c:v>
                </c:pt>
                <c:pt idx="26">
                  <c:v>-7.4</c:v>
                </c:pt>
                <c:pt idx="27">
                  <c:v>-7.3</c:v>
                </c:pt>
                <c:pt idx="28">
                  <c:v>-7.1999999999999993</c:v>
                </c:pt>
                <c:pt idx="29">
                  <c:v>-7.1</c:v>
                </c:pt>
                <c:pt idx="30">
                  <c:v>-7</c:v>
                </c:pt>
                <c:pt idx="31">
                  <c:v>-6.9</c:v>
                </c:pt>
                <c:pt idx="32">
                  <c:v>-6.8</c:v>
                </c:pt>
                <c:pt idx="33">
                  <c:v>-6.6999999999999993</c:v>
                </c:pt>
                <c:pt idx="34">
                  <c:v>-6.6</c:v>
                </c:pt>
                <c:pt idx="35">
                  <c:v>-6.5</c:v>
                </c:pt>
                <c:pt idx="36">
                  <c:v>-6.4</c:v>
                </c:pt>
                <c:pt idx="37">
                  <c:v>-6.3</c:v>
                </c:pt>
                <c:pt idx="38">
                  <c:v>-6.1999999999999993</c:v>
                </c:pt>
                <c:pt idx="39">
                  <c:v>-6.1</c:v>
                </c:pt>
                <c:pt idx="40">
                  <c:v>-6</c:v>
                </c:pt>
                <c:pt idx="41">
                  <c:v>-5.8999999999999995</c:v>
                </c:pt>
                <c:pt idx="42">
                  <c:v>-5.8</c:v>
                </c:pt>
                <c:pt idx="43">
                  <c:v>-5.7</c:v>
                </c:pt>
                <c:pt idx="44">
                  <c:v>-5.6</c:v>
                </c:pt>
                <c:pt idx="45">
                  <c:v>-5.5</c:v>
                </c:pt>
                <c:pt idx="46">
                  <c:v>-5.3999999999999995</c:v>
                </c:pt>
                <c:pt idx="47">
                  <c:v>-5.3</c:v>
                </c:pt>
                <c:pt idx="48">
                  <c:v>-5.1999999999999993</c:v>
                </c:pt>
                <c:pt idx="49">
                  <c:v>-5.0999999999999996</c:v>
                </c:pt>
                <c:pt idx="50">
                  <c:v>-5</c:v>
                </c:pt>
                <c:pt idx="51">
                  <c:v>-4.8999999999999995</c:v>
                </c:pt>
                <c:pt idx="52">
                  <c:v>-4.8</c:v>
                </c:pt>
                <c:pt idx="53">
                  <c:v>-4.6999999999999993</c:v>
                </c:pt>
                <c:pt idx="54">
                  <c:v>-4.5999999999999996</c:v>
                </c:pt>
                <c:pt idx="55">
                  <c:v>-4.5</c:v>
                </c:pt>
                <c:pt idx="56">
                  <c:v>-4.3999999999999995</c:v>
                </c:pt>
                <c:pt idx="57">
                  <c:v>-4.3</c:v>
                </c:pt>
                <c:pt idx="58">
                  <c:v>-4.1999999999999993</c:v>
                </c:pt>
                <c:pt idx="59">
                  <c:v>-4.0999999999999996</c:v>
                </c:pt>
                <c:pt idx="60">
                  <c:v>-4</c:v>
                </c:pt>
                <c:pt idx="61">
                  <c:v>-3.8999999999999995</c:v>
                </c:pt>
                <c:pt idx="62">
                  <c:v>-3.8</c:v>
                </c:pt>
                <c:pt idx="63">
                  <c:v>-3.6999999999999993</c:v>
                </c:pt>
                <c:pt idx="64">
                  <c:v>-3.5999999999999996</c:v>
                </c:pt>
                <c:pt idx="65">
                  <c:v>-3.5</c:v>
                </c:pt>
                <c:pt idx="66">
                  <c:v>-3.3999999999999995</c:v>
                </c:pt>
                <c:pt idx="67">
                  <c:v>-3.3</c:v>
                </c:pt>
                <c:pt idx="68">
                  <c:v>-3.1999999999999993</c:v>
                </c:pt>
                <c:pt idx="69">
                  <c:v>-3.0999999999999996</c:v>
                </c:pt>
                <c:pt idx="70">
                  <c:v>-3</c:v>
                </c:pt>
                <c:pt idx="71">
                  <c:v>-2.8999999999999995</c:v>
                </c:pt>
                <c:pt idx="72">
                  <c:v>-2.8</c:v>
                </c:pt>
                <c:pt idx="73">
                  <c:v>-2.6999999999999993</c:v>
                </c:pt>
                <c:pt idx="74">
                  <c:v>-2.5999999999999996</c:v>
                </c:pt>
                <c:pt idx="75">
                  <c:v>-2.5</c:v>
                </c:pt>
                <c:pt idx="76">
                  <c:v>-2.3999999999999995</c:v>
                </c:pt>
                <c:pt idx="77">
                  <c:v>-2.2999999999999998</c:v>
                </c:pt>
                <c:pt idx="78">
                  <c:v>-2.1999999999999993</c:v>
                </c:pt>
                <c:pt idx="79">
                  <c:v>-2.0999999999999996</c:v>
                </c:pt>
                <c:pt idx="80">
                  <c:v>-2</c:v>
                </c:pt>
                <c:pt idx="81">
                  <c:v>-1.9000000000000004</c:v>
                </c:pt>
                <c:pt idx="82">
                  <c:v>-1.7999999999999989</c:v>
                </c:pt>
                <c:pt idx="83">
                  <c:v>-1.6999999999999993</c:v>
                </c:pt>
                <c:pt idx="84">
                  <c:v>-1.5999999999999996</c:v>
                </c:pt>
                <c:pt idx="85">
                  <c:v>-1.5</c:v>
                </c:pt>
                <c:pt idx="86">
                  <c:v>-1.4000000000000004</c:v>
                </c:pt>
                <c:pt idx="87">
                  <c:v>-1.2999999999999989</c:v>
                </c:pt>
                <c:pt idx="88">
                  <c:v>-1.1999999999999993</c:v>
                </c:pt>
                <c:pt idx="89">
                  <c:v>-1.0999999999999996</c:v>
                </c:pt>
                <c:pt idx="90">
                  <c:v>-1</c:v>
                </c:pt>
                <c:pt idx="91">
                  <c:v>-0.90000000000000036</c:v>
                </c:pt>
                <c:pt idx="92">
                  <c:v>-0.79999999999999893</c:v>
                </c:pt>
                <c:pt idx="93">
                  <c:v>-0.69999999999999929</c:v>
                </c:pt>
                <c:pt idx="94">
                  <c:v>-0.59999999999999964</c:v>
                </c:pt>
                <c:pt idx="95">
                  <c:v>-0.5</c:v>
                </c:pt>
                <c:pt idx="96">
                  <c:v>-0.39999999999999858</c:v>
                </c:pt>
                <c:pt idx="97">
                  <c:v>-0.29999999999999893</c:v>
                </c:pt>
                <c:pt idx="98">
                  <c:v>-0.19999999999999929</c:v>
                </c:pt>
                <c:pt idx="99">
                  <c:v>-9.9999999999999645E-2</c:v>
                </c:pt>
                <c:pt idx="100">
                  <c:v>0</c:v>
                </c:pt>
                <c:pt idx="101">
                  <c:v>0.10000000000000142</c:v>
                </c:pt>
                <c:pt idx="102">
                  <c:v>0.20000000000000107</c:v>
                </c:pt>
                <c:pt idx="103">
                  <c:v>0.30000000000000071</c:v>
                </c:pt>
                <c:pt idx="104">
                  <c:v>0.40000000000000036</c:v>
                </c:pt>
                <c:pt idx="105">
                  <c:v>0.5</c:v>
                </c:pt>
                <c:pt idx="106">
                  <c:v>0.60000000000000142</c:v>
                </c:pt>
                <c:pt idx="107">
                  <c:v>0.70000000000000107</c:v>
                </c:pt>
                <c:pt idx="108">
                  <c:v>0.80000000000000071</c:v>
                </c:pt>
                <c:pt idx="109">
                  <c:v>0.90000000000000036</c:v>
                </c:pt>
                <c:pt idx="110">
                  <c:v>1</c:v>
                </c:pt>
                <c:pt idx="111">
                  <c:v>1.1000000000000014</c:v>
                </c:pt>
                <c:pt idx="112">
                  <c:v>1.2000000000000011</c:v>
                </c:pt>
                <c:pt idx="113">
                  <c:v>1.3000000000000007</c:v>
                </c:pt>
                <c:pt idx="114">
                  <c:v>1.4000000000000004</c:v>
                </c:pt>
                <c:pt idx="115">
                  <c:v>1.5</c:v>
                </c:pt>
                <c:pt idx="116">
                  <c:v>1.6000000000000014</c:v>
                </c:pt>
                <c:pt idx="117">
                  <c:v>1.7000000000000011</c:v>
                </c:pt>
                <c:pt idx="118">
                  <c:v>1.8000000000000007</c:v>
                </c:pt>
                <c:pt idx="119">
                  <c:v>1.9000000000000004</c:v>
                </c:pt>
                <c:pt idx="120">
                  <c:v>2</c:v>
                </c:pt>
                <c:pt idx="121">
                  <c:v>2.1000000000000014</c:v>
                </c:pt>
                <c:pt idx="122">
                  <c:v>2.2000000000000011</c:v>
                </c:pt>
                <c:pt idx="123">
                  <c:v>2.3000000000000007</c:v>
                </c:pt>
                <c:pt idx="124">
                  <c:v>2.4000000000000004</c:v>
                </c:pt>
                <c:pt idx="125">
                  <c:v>2.5</c:v>
                </c:pt>
                <c:pt idx="126">
                  <c:v>2.6000000000000014</c:v>
                </c:pt>
                <c:pt idx="127">
                  <c:v>2.7000000000000011</c:v>
                </c:pt>
                <c:pt idx="128">
                  <c:v>2.8000000000000007</c:v>
                </c:pt>
                <c:pt idx="129">
                  <c:v>2.9000000000000004</c:v>
                </c:pt>
                <c:pt idx="130">
                  <c:v>3</c:v>
                </c:pt>
                <c:pt idx="131">
                  <c:v>3.1000000000000014</c:v>
                </c:pt>
                <c:pt idx="132">
                  <c:v>3.2000000000000011</c:v>
                </c:pt>
                <c:pt idx="133">
                  <c:v>3.3000000000000007</c:v>
                </c:pt>
                <c:pt idx="134">
                  <c:v>3.4000000000000004</c:v>
                </c:pt>
                <c:pt idx="135">
                  <c:v>3.5</c:v>
                </c:pt>
                <c:pt idx="136">
                  <c:v>3.6000000000000014</c:v>
                </c:pt>
                <c:pt idx="137">
                  <c:v>3.7000000000000011</c:v>
                </c:pt>
                <c:pt idx="138">
                  <c:v>3.8000000000000007</c:v>
                </c:pt>
                <c:pt idx="139">
                  <c:v>3.9000000000000004</c:v>
                </c:pt>
                <c:pt idx="140">
                  <c:v>4</c:v>
                </c:pt>
                <c:pt idx="141">
                  <c:v>4.1000000000000014</c:v>
                </c:pt>
                <c:pt idx="142">
                  <c:v>4.2000000000000011</c:v>
                </c:pt>
                <c:pt idx="143">
                  <c:v>4.3000000000000007</c:v>
                </c:pt>
                <c:pt idx="144">
                  <c:v>4.4000000000000004</c:v>
                </c:pt>
                <c:pt idx="145">
                  <c:v>4.5</c:v>
                </c:pt>
                <c:pt idx="146">
                  <c:v>4.6000000000000014</c:v>
                </c:pt>
                <c:pt idx="147">
                  <c:v>4.7000000000000011</c:v>
                </c:pt>
                <c:pt idx="148">
                  <c:v>4.8000000000000007</c:v>
                </c:pt>
                <c:pt idx="149">
                  <c:v>4.9000000000000004</c:v>
                </c:pt>
                <c:pt idx="150">
                  <c:v>5</c:v>
                </c:pt>
                <c:pt idx="151">
                  <c:v>5.1000000000000014</c:v>
                </c:pt>
                <c:pt idx="152">
                  <c:v>5.2000000000000011</c:v>
                </c:pt>
                <c:pt idx="153">
                  <c:v>5.3000000000000007</c:v>
                </c:pt>
                <c:pt idx="154">
                  <c:v>5.4</c:v>
                </c:pt>
                <c:pt idx="155">
                  <c:v>5.5</c:v>
                </c:pt>
                <c:pt idx="156">
                  <c:v>5.6000000000000014</c:v>
                </c:pt>
                <c:pt idx="157">
                  <c:v>5.7000000000000011</c:v>
                </c:pt>
                <c:pt idx="158">
                  <c:v>5.8000000000000007</c:v>
                </c:pt>
                <c:pt idx="159">
                  <c:v>5.9</c:v>
                </c:pt>
                <c:pt idx="160">
                  <c:v>6</c:v>
                </c:pt>
                <c:pt idx="161">
                  <c:v>6.1000000000000014</c:v>
                </c:pt>
                <c:pt idx="162">
                  <c:v>6.1999999999999993</c:v>
                </c:pt>
                <c:pt idx="163">
                  <c:v>6.3000000000000007</c:v>
                </c:pt>
                <c:pt idx="164">
                  <c:v>6.4000000000000021</c:v>
                </c:pt>
                <c:pt idx="165">
                  <c:v>6.5</c:v>
                </c:pt>
                <c:pt idx="166">
                  <c:v>6.6000000000000014</c:v>
                </c:pt>
                <c:pt idx="167">
                  <c:v>6.6999999999999993</c:v>
                </c:pt>
                <c:pt idx="168">
                  <c:v>6.8000000000000007</c:v>
                </c:pt>
                <c:pt idx="169">
                  <c:v>6.9000000000000021</c:v>
                </c:pt>
                <c:pt idx="170">
                  <c:v>7</c:v>
                </c:pt>
                <c:pt idx="171">
                  <c:v>7.1000000000000014</c:v>
                </c:pt>
                <c:pt idx="172">
                  <c:v>7.1999999999999993</c:v>
                </c:pt>
                <c:pt idx="173">
                  <c:v>7.3000000000000007</c:v>
                </c:pt>
                <c:pt idx="174">
                  <c:v>7.4000000000000021</c:v>
                </c:pt>
                <c:pt idx="175">
                  <c:v>7.5</c:v>
                </c:pt>
                <c:pt idx="176">
                  <c:v>7.6000000000000014</c:v>
                </c:pt>
                <c:pt idx="177">
                  <c:v>7.6999999999999993</c:v>
                </c:pt>
                <c:pt idx="178">
                  <c:v>7.8000000000000007</c:v>
                </c:pt>
                <c:pt idx="179">
                  <c:v>7.9000000000000021</c:v>
                </c:pt>
                <c:pt idx="180">
                  <c:v>8</c:v>
                </c:pt>
                <c:pt idx="181">
                  <c:v>8.1000000000000014</c:v>
                </c:pt>
                <c:pt idx="182">
                  <c:v>8.1999999999999993</c:v>
                </c:pt>
                <c:pt idx="183">
                  <c:v>8.3000000000000007</c:v>
                </c:pt>
                <c:pt idx="184">
                  <c:v>8.4000000000000021</c:v>
                </c:pt>
                <c:pt idx="185">
                  <c:v>8.5</c:v>
                </c:pt>
                <c:pt idx="186">
                  <c:v>8.6000000000000014</c:v>
                </c:pt>
                <c:pt idx="187">
                  <c:v>8.6999999999999993</c:v>
                </c:pt>
                <c:pt idx="188">
                  <c:v>8.8000000000000007</c:v>
                </c:pt>
                <c:pt idx="189">
                  <c:v>8.9000000000000021</c:v>
                </c:pt>
                <c:pt idx="190">
                  <c:v>9</c:v>
                </c:pt>
                <c:pt idx="191">
                  <c:v>9.1000000000000014</c:v>
                </c:pt>
                <c:pt idx="192">
                  <c:v>9.2000000000000028</c:v>
                </c:pt>
                <c:pt idx="193">
                  <c:v>9.3000000000000007</c:v>
                </c:pt>
                <c:pt idx="194">
                  <c:v>9.4000000000000021</c:v>
                </c:pt>
                <c:pt idx="195">
                  <c:v>9.5</c:v>
                </c:pt>
                <c:pt idx="196">
                  <c:v>9.6000000000000014</c:v>
                </c:pt>
                <c:pt idx="197">
                  <c:v>9.7000000000000028</c:v>
                </c:pt>
                <c:pt idx="198">
                  <c:v>9.8000000000000007</c:v>
                </c:pt>
                <c:pt idx="199">
                  <c:v>9.9000000000000021</c:v>
                </c:pt>
                <c:pt idx="200">
                  <c:v>10</c:v>
                </c:pt>
                <c:pt idx="201">
                  <c:v>10.100000000000001</c:v>
                </c:pt>
              </c:numCache>
            </c:numRef>
          </c:xVal>
          <c:yVal>
            <c:numRef>
              <c:f>parallel!$AP$8:$AP$209</c:f>
              <c:numCache>
                <c:formatCode>General</c:formatCode>
                <c:ptCount val="202"/>
                <c:pt idx="0">
                  <c:v>0</c:v>
                </c:pt>
                <c:pt idx="1">
                  <c:v>-1.4106735979665865</c:v>
                </c:pt>
                <c:pt idx="2">
                  <c:v>-1.9899748742132348</c:v>
                </c:pt>
                <c:pt idx="3">
                  <c:v>-2.4310491562286458</c:v>
                </c:pt>
                <c:pt idx="4">
                  <c:v>-2.8000000000000007</c:v>
                </c:pt>
                <c:pt idx="5">
                  <c:v>-3.1224989991991992</c:v>
                </c:pt>
                <c:pt idx="6">
                  <c:v>-3.4117444218463944</c:v>
                </c:pt>
                <c:pt idx="7">
                  <c:v>-3.6755951898978201</c:v>
                </c:pt>
                <c:pt idx="8">
                  <c:v>-3.9191835884530866</c:v>
                </c:pt>
                <c:pt idx="9">
                  <c:v>-4.1460824883255771</c:v>
                </c:pt>
                <c:pt idx="10">
                  <c:v>-4.358898943540674</c:v>
                </c:pt>
                <c:pt idx="11">
                  <c:v>-4.5596052460711984</c:v>
                </c:pt>
                <c:pt idx="12">
                  <c:v>-4.7497368348151658</c:v>
                </c:pt>
                <c:pt idx="13">
                  <c:v>-4.9305172142484217</c:v>
                </c:pt>
                <c:pt idx="14">
                  <c:v>-5.1029403288692299</c:v>
                </c:pt>
                <c:pt idx="15">
                  <c:v>-5.2678268764263692</c:v>
                </c:pt>
                <c:pt idx="16">
                  <c:v>-5.4258639865002145</c:v>
                </c:pt>
                <c:pt idx="17">
                  <c:v>-5.5776339069537348</c:v>
                </c:pt>
                <c:pt idx="18">
                  <c:v>-5.7236352085016744</c:v>
                </c:pt>
                <c:pt idx="19">
                  <c:v>-5.8642987645583</c:v>
                </c:pt>
                <c:pt idx="20">
                  <c:v>-6</c:v>
                </c:pt>
                <c:pt idx="21">
                  <c:v>-6.1310684223877319</c:v>
                </c:pt>
                <c:pt idx="22">
                  <c:v>-6.2577951388648065</c:v>
                </c:pt>
                <c:pt idx="23">
                  <c:v>-6.3804388563797092</c:v>
                </c:pt>
                <c:pt idx="24">
                  <c:v>-6.4992307237087683</c:v>
                </c:pt>
                <c:pt idx="25">
                  <c:v>-6.6143782776614763</c:v>
                </c:pt>
                <c:pt idx="26">
                  <c:v>-6.726068688320094</c:v>
                </c:pt>
                <c:pt idx="27">
                  <c:v>-6.8344714499367107</c:v>
                </c:pt>
                <c:pt idx="28">
                  <c:v>-6.9397406291589894</c:v>
                </c:pt>
                <c:pt idx="29">
                  <c:v>-7.0420167565833021</c:v>
                </c:pt>
                <c:pt idx="30">
                  <c:v>-7.1414284285428504</c:v>
                </c:pt>
                <c:pt idx="31">
                  <c:v>-7.2380936716790281</c:v>
                </c:pt>
                <c:pt idx="32">
                  <c:v>-7.3321211119293448</c:v>
                </c:pt>
                <c:pt idx="33">
                  <c:v>-7.4236109811869859</c:v>
                </c:pt>
                <c:pt idx="34">
                  <c:v>-7.5126559883971797</c:v>
                </c:pt>
                <c:pt idx="35">
                  <c:v>-7.5993420767853319</c:v>
                </c:pt>
                <c:pt idx="36">
                  <c:v>-7.6837490849194179</c:v>
                </c:pt>
                <c:pt idx="37">
                  <c:v>-7.7659513261415691</c:v>
                </c:pt>
                <c:pt idx="38">
                  <c:v>-7.8460180983732126</c:v>
                </c:pt>
                <c:pt idx="39">
                  <c:v>-7.9240141342630128</c:v>
                </c:pt>
                <c:pt idx="40">
                  <c:v>-8</c:v>
                </c:pt>
                <c:pt idx="41">
                  <c:v>-8.0740324497737799</c:v>
                </c:pt>
                <c:pt idx="42">
                  <c:v>-8.1461647417665208</c:v>
                </c:pt>
                <c:pt idx="43">
                  <c:v>-8.2164469206585871</c:v>
                </c:pt>
                <c:pt idx="44">
                  <c:v>-8.2849260708831913</c:v>
                </c:pt>
                <c:pt idx="45">
                  <c:v>-8.3516465442450336</c:v>
                </c:pt>
                <c:pt idx="46">
                  <c:v>-8.4166501650003251</c:v>
                </c:pt>
                <c:pt idx="47">
                  <c:v>-8.4799764150615413</c:v>
                </c:pt>
                <c:pt idx="48">
                  <c:v>-8.541662601625049</c:v>
                </c:pt>
                <c:pt idx="49">
                  <c:v>-8.6017440092111563</c:v>
                </c:pt>
                <c:pt idx="50">
                  <c:v>-8.6602540378443873</c:v>
                </c:pt>
                <c:pt idx="51">
                  <c:v>-8.7172243288790039</c:v>
                </c:pt>
                <c:pt idx="52">
                  <c:v>-8.7726848797845243</c:v>
                </c:pt>
                <c:pt idx="53">
                  <c:v>-8.8266641490429443</c:v>
                </c:pt>
                <c:pt idx="54">
                  <c:v>-8.8791891521692463</c:v>
                </c:pt>
                <c:pt idx="55">
                  <c:v>-8.9302855497458751</c:v>
                </c:pt>
                <c:pt idx="56">
                  <c:v>-8.9799777282574595</c:v>
                </c:pt>
                <c:pt idx="57">
                  <c:v>-9.0282888744213317</c:v>
                </c:pt>
                <c:pt idx="58">
                  <c:v>-9.0752410436307436</c:v>
                </c:pt>
                <c:pt idx="59">
                  <c:v>-9.1208552230588555</c:v>
                </c:pt>
                <c:pt idx="60">
                  <c:v>-9.1651513899116797</c:v>
                </c:pt>
                <c:pt idx="61">
                  <c:v>-9.2081485652654411</c:v>
                </c:pt>
                <c:pt idx="62">
                  <c:v>-9.2498648638777414</c:v>
                </c:pt>
                <c:pt idx="63">
                  <c:v>-9.2903175403212135</c:v>
                </c:pt>
                <c:pt idx="64">
                  <c:v>-9.3295230317524815</c:v>
                </c:pt>
                <c:pt idx="65">
                  <c:v>-9.3674969975975966</c:v>
                </c:pt>
                <c:pt idx="66">
                  <c:v>-9.404254356406998</c:v>
                </c:pt>
                <c:pt idx="67">
                  <c:v>-9.4398093201081128</c:v>
                </c:pt>
                <c:pt idx="68">
                  <c:v>-9.4741754258616098</c:v>
                </c:pt>
                <c:pt idx="69">
                  <c:v>-9.5073655657074632</c:v>
                </c:pt>
                <c:pt idx="70">
                  <c:v>-9.5393920141694561</c:v>
                </c:pt>
                <c:pt idx="71">
                  <c:v>-9.5702664539708611</c:v>
                </c:pt>
                <c:pt idx="72">
                  <c:v>-9.6</c:v>
                </c:pt>
                <c:pt idx="73">
                  <c:v>-9.6286032216516233</c:v>
                </c:pt>
                <c:pt idx="74">
                  <c:v>-9.6560861636586495</c:v>
                </c:pt>
                <c:pt idx="75">
                  <c:v>-9.6824583655185421</c:v>
                </c:pt>
                <c:pt idx="76">
                  <c:v>-9.7077288796092773</c:v>
                </c:pt>
                <c:pt idx="77">
                  <c:v>-9.7319062880814879</c:v>
                </c:pt>
                <c:pt idx="78">
                  <c:v>-9.7549987186057585</c:v>
                </c:pt>
                <c:pt idx="79">
                  <c:v>-9.7770138590471483</c:v>
                </c:pt>
                <c:pt idx="80">
                  <c:v>-9.7979589711327115</c:v>
                </c:pt>
                <c:pt idx="81">
                  <c:v>-9.8178409031721436</c:v>
                </c:pt>
                <c:pt idx="82">
                  <c:v>-9.836666101886351</c:v>
                </c:pt>
                <c:pt idx="83">
                  <c:v>-9.8544406233941046</c:v>
                </c:pt>
                <c:pt idx="84">
                  <c:v>-9.8711701434024519</c:v>
                </c:pt>
                <c:pt idx="85">
                  <c:v>-9.8868599666425947</c:v>
                </c:pt>
                <c:pt idx="86">
                  <c:v>-9.9015150355892505</c:v>
                </c:pt>
                <c:pt idx="87">
                  <c:v>-9.9151399384980952</c:v>
                </c:pt>
                <c:pt idx="88">
                  <c:v>-9.9277389167926859</c:v>
                </c:pt>
                <c:pt idx="89">
                  <c:v>-9.9393158718294092</c:v>
                </c:pt>
                <c:pt idx="90">
                  <c:v>-9.9498743710661994</c:v>
                </c:pt>
                <c:pt idx="91">
                  <c:v>-9.959417653658269</c:v>
                </c:pt>
                <c:pt idx="92">
                  <c:v>-9.9679486355016902</c:v>
                </c:pt>
                <c:pt idx="93">
                  <c:v>-9.975469913743412</c:v>
                </c:pt>
                <c:pt idx="94">
                  <c:v>-9.9819837707742245</c:v>
                </c:pt>
                <c:pt idx="95">
                  <c:v>-9.9874921777190888</c:v>
                </c:pt>
                <c:pt idx="96">
                  <c:v>-9.9919967974374373</c:v>
                </c:pt>
                <c:pt idx="97">
                  <c:v>-9.9954989870441189</c:v>
                </c:pt>
                <c:pt idx="98">
                  <c:v>-9.9979997999599899</c:v>
                </c:pt>
                <c:pt idx="99">
                  <c:v>-9.9994999874993749</c:v>
                </c:pt>
                <c:pt idx="100">
                  <c:v>-10</c:v>
                </c:pt>
                <c:pt idx="101">
                  <c:v>-9.9994999874993749</c:v>
                </c:pt>
                <c:pt idx="102">
                  <c:v>-9.9979997999599899</c:v>
                </c:pt>
                <c:pt idx="103">
                  <c:v>-9.9954989870441189</c:v>
                </c:pt>
                <c:pt idx="104">
                  <c:v>-9.9919967974374373</c:v>
                </c:pt>
                <c:pt idx="105">
                  <c:v>-9.9874921777190888</c:v>
                </c:pt>
                <c:pt idx="106">
                  <c:v>-9.9819837707742245</c:v>
                </c:pt>
                <c:pt idx="107">
                  <c:v>-9.975469913743412</c:v>
                </c:pt>
                <c:pt idx="108">
                  <c:v>-9.9679486355016902</c:v>
                </c:pt>
                <c:pt idx="109">
                  <c:v>-9.959417653658269</c:v>
                </c:pt>
                <c:pt idx="110">
                  <c:v>-9.9498743710661994</c:v>
                </c:pt>
                <c:pt idx="111">
                  <c:v>-9.9393158718294092</c:v>
                </c:pt>
                <c:pt idx="112">
                  <c:v>-9.9277389167926859</c:v>
                </c:pt>
                <c:pt idx="113">
                  <c:v>-9.9151399384980952</c:v>
                </c:pt>
                <c:pt idx="114">
                  <c:v>-9.9015150355892505</c:v>
                </c:pt>
                <c:pt idx="115">
                  <c:v>-9.8868599666425947</c:v>
                </c:pt>
                <c:pt idx="116">
                  <c:v>-9.8711701434024519</c:v>
                </c:pt>
                <c:pt idx="117">
                  <c:v>-9.8544406233941046</c:v>
                </c:pt>
                <c:pt idx="118">
                  <c:v>-9.8366661018863493</c:v>
                </c:pt>
                <c:pt idx="119">
                  <c:v>-9.8178409031721436</c:v>
                </c:pt>
                <c:pt idx="120">
                  <c:v>-9.7979589711327115</c:v>
                </c:pt>
                <c:pt idx="121">
                  <c:v>-9.7770138590471465</c:v>
                </c:pt>
                <c:pt idx="122">
                  <c:v>-9.7549987186057585</c:v>
                </c:pt>
                <c:pt idx="123">
                  <c:v>-9.7319062880814879</c:v>
                </c:pt>
                <c:pt idx="124">
                  <c:v>-9.7077288796092773</c:v>
                </c:pt>
                <c:pt idx="125">
                  <c:v>-9.6824583655185421</c:v>
                </c:pt>
                <c:pt idx="126">
                  <c:v>-9.6560861636586477</c:v>
                </c:pt>
                <c:pt idx="127">
                  <c:v>-9.6286032216516215</c:v>
                </c:pt>
                <c:pt idx="128">
                  <c:v>-9.6</c:v>
                </c:pt>
                <c:pt idx="129">
                  <c:v>-9.5702664539708611</c:v>
                </c:pt>
                <c:pt idx="130">
                  <c:v>-9.5393920141694561</c:v>
                </c:pt>
                <c:pt idx="131">
                  <c:v>-9.5073655657074632</c:v>
                </c:pt>
                <c:pt idx="132">
                  <c:v>-9.474175425861608</c:v>
                </c:pt>
                <c:pt idx="133">
                  <c:v>-9.4398093201081128</c:v>
                </c:pt>
                <c:pt idx="134">
                  <c:v>-9.404254356406998</c:v>
                </c:pt>
                <c:pt idx="135">
                  <c:v>-9.3674969975975966</c:v>
                </c:pt>
                <c:pt idx="136">
                  <c:v>-9.3295230317524798</c:v>
                </c:pt>
                <c:pt idx="137">
                  <c:v>-9.2903175403212135</c:v>
                </c:pt>
                <c:pt idx="138">
                  <c:v>-9.2498648638777414</c:v>
                </c:pt>
                <c:pt idx="139">
                  <c:v>-9.2081485652654411</c:v>
                </c:pt>
                <c:pt idx="140">
                  <c:v>-9.1651513899116797</c:v>
                </c:pt>
                <c:pt idx="141">
                  <c:v>-9.1208552230588538</c:v>
                </c:pt>
                <c:pt idx="142">
                  <c:v>-9.0752410436307418</c:v>
                </c:pt>
                <c:pt idx="143">
                  <c:v>-9.0282888744213317</c:v>
                </c:pt>
                <c:pt idx="144">
                  <c:v>-8.9799777282574595</c:v>
                </c:pt>
                <c:pt idx="145">
                  <c:v>-8.9302855497458751</c:v>
                </c:pt>
                <c:pt idx="146">
                  <c:v>-8.8791891521692445</c:v>
                </c:pt>
                <c:pt idx="147">
                  <c:v>-8.8266641490429443</c:v>
                </c:pt>
                <c:pt idx="148">
                  <c:v>-8.7726848797845225</c:v>
                </c:pt>
                <c:pt idx="149">
                  <c:v>-8.7172243288790039</c:v>
                </c:pt>
                <c:pt idx="150">
                  <c:v>-8.6602540378443873</c:v>
                </c:pt>
                <c:pt idx="151">
                  <c:v>-8.6017440092111546</c:v>
                </c:pt>
                <c:pt idx="152">
                  <c:v>-8.541662601625049</c:v>
                </c:pt>
                <c:pt idx="153">
                  <c:v>-8.4799764150615413</c:v>
                </c:pt>
                <c:pt idx="154">
                  <c:v>-8.4166501650003251</c:v>
                </c:pt>
                <c:pt idx="155">
                  <c:v>-8.3516465442450336</c:v>
                </c:pt>
                <c:pt idx="156">
                  <c:v>-8.2849260708831913</c:v>
                </c:pt>
                <c:pt idx="157">
                  <c:v>-8.2164469206585871</c:v>
                </c:pt>
                <c:pt idx="158">
                  <c:v>-8.1461647417665191</c:v>
                </c:pt>
                <c:pt idx="159">
                  <c:v>-8.0740324497737799</c:v>
                </c:pt>
                <c:pt idx="160">
                  <c:v>-8</c:v>
                </c:pt>
                <c:pt idx="161">
                  <c:v>-7.9240141342630119</c:v>
                </c:pt>
                <c:pt idx="162">
                  <c:v>-7.8460180983732126</c:v>
                </c:pt>
                <c:pt idx="163">
                  <c:v>-7.7659513261415682</c:v>
                </c:pt>
                <c:pt idx="164">
                  <c:v>-7.6837490849194161</c:v>
                </c:pt>
                <c:pt idx="165">
                  <c:v>-7.5993420767853319</c:v>
                </c:pt>
                <c:pt idx="166">
                  <c:v>-7.512655988397178</c:v>
                </c:pt>
                <c:pt idx="167">
                  <c:v>-7.4236109811869859</c:v>
                </c:pt>
                <c:pt idx="168">
                  <c:v>-7.332121111929343</c:v>
                </c:pt>
                <c:pt idx="169">
                  <c:v>-7.2380936716790263</c:v>
                </c:pt>
                <c:pt idx="170">
                  <c:v>-7.1414284285428504</c:v>
                </c:pt>
                <c:pt idx="171">
                  <c:v>-7.0420167565833003</c:v>
                </c:pt>
                <c:pt idx="172">
                  <c:v>-6.9397406291589894</c:v>
                </c:pt>
                <c:pt idx="173">
                  <c:v>-6.834471449936709</c:v>
                </c:pt>
                <c:pt idx="174">
                  <c:v>-6.7260686883200922</c:v>
                </c:pt>
                <c:pt idx="175">
                  <c:v>-6.6143782776614763</c:v>
                </c:pt>
                <c:pt idx="176">
                  <c:v>-6.4992307237087665</c:v>
                </c:pt>
                <c:pt idx="177">
                  <c:v>-6.3804388563797092</c:v>
                </c:pt>
                <c:pt idx="178">
                  <c:v>-6.2577951388648057</c:v>
                </c:pt>
                <c:pt idx="179">
                  <c:v>-6.1310684223877301</c:v>
                </c:pt>
                <c:pt idx="180">
                  <c:v>-6</c:v>
                </c:pt>
                <c:pt idx="181">
                  <c:v>-5.8642987645582973</c:v>
                </c:pt>
                <c:pt idx="182">
                  <c:v>-5.7236352085016744</c:v>
                </c:pt>
                <c:pt idx="183">
                  <c:v>-5.5776339069537348</c:v>
                </c:pt>
                <c:pt idx="184">
                  <c:v>-5.4258639865002118</c:v>
                </c:pt>
                <c:pt idx="185">
                  <c:v>-5.2678268764263692</c:v>
                </c:pt>
                <c:pt idx="186">
                  <c:v>-5.1029403288692272</c:v>
                </c:pt>
                <c:pt idx="187">
                  <c:v>-4.9305172142484217</c:v>
                </c:pt>
                <c:pt idx="188">
                  <c:v>-4.7497368348151658</c:v>
                </c:pt>
                <c:pt idx="189">
                  <c:v>-4.5596052460711949</c:v>
                </c:pt>
                <c:pt idx="190">
                  <c:v>-4.358898943540674</c:v>
                </c:pt>
                <c:pt idx="191">
                  <c:v>-4.1460824883255727</c:v>
                </c:pt>
                <c:pt idx="192">
                  <c:v>-3.9191835884530777</c:v>
                </c:pt>
                <c:pt idx="193">
                  <c:v>-3.6755951898978201</c:v>
                </c:pt>
                <c:pt idx="194">
                  <c:v>-3.4117444218463899</c:v>
                </c:pt>
                <c:pt idx="195">
                  <c:v>-3.1224989991991992</c:v>
                </c:pt>
                <c:pt idx="196">
                  <c:v>-2.7999999999999954</c:v>
                </c:pt>
                <c:pt idx="197">
                  <c:v>-2.4310491562286312</c:v>
                </c:pt>
                <c:pt idx="198">
                  <c:v>-1.9899748742132348</c:v>
                </c:pt>
                <c:pt idx="199">
                  <c:v>-1.4106735979665714</c:v>
                </c:pt>
                <c:pt idx="200">
                  <c:v>0</c:v>
                </c:pt>
                <c:pt idx="201">
                  <c:v>0</c:v>
                </c:pt>
              </c:numCache>
            </c:numRef>
          </c:yVal>
          <c:smooth val="1"/>
        </c:ser>
        <c:ser>
          <c:idx val="21"/>
          <c:order val="22"/>
          <c:tx>
            <c:v>metopa2</c:v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rgbClr val="0070C0"/>
              </a:solidFill>
            </c:spPr>
          </c:marker>
          <c:xVal>
            <c:numRef>
              <c:f>('one point'!$AY$30:$AY$31,'one point'!$BA$30:$BA$31,'one point'!$BC$30:$BC$31,'one point'!$BE$30:$BE$31,'one point'!$BG$30:$BG$31,'one point'!$BI$30:$BI$31,'one point'!$BK$30:$BK$31,'one point'!$BM$30:$BM$31,'one point'!$BO$30:$BO$31)</c:f>
              <c:numCache>
                <c:formatCode>General</c:formatCode>
                <c:ptCount val="18"/>
                <c:pt idx="0">
                  <c:v>-21.498070533316312</c:v>
                </c:pt>
                <c:pt idx="1">
                  <c:v>-21.64651768224719</c:v>
                </c:pt>
                <c:pt idx="2">
                  <c:v>-21.434511550695095</c:v>
                </c:pt>
                <c:pt idx="3">
                  <c:v>-21.574062678621853</c:v>
                </c:pt>
                <c:pt idx="4">
                  <c:v>-21.355360065294729</c:v>
                </c:pt>
                <c:pt idx="5">
                  <c:v>-21.482832422985087</c:v>
                </c:pt>
                <c:pt idx="6">
                  <c:v>-21.272009060783848</c:v>
                </c:pt>
                <c:pt idx="7">
                  <c:v>-21.385159631923262</c:v>
                </c:pt>
                <c:pt idx="8">
                  <c:v>-21.191603018683129</c:v>
                </c:pt>
                <c:pt idx="9">
                  <c:v>-21.288636833366862</c:v>
                </c:pt>
                <c:pt idx="10">
                  <c:v>-21.119749854221094</c:v>
                </c:pt>
                <c:pt idx="11">
                  <c:v>-21.199189587980118</c:v>
                </c:pt>
                <c:pt idx="12">
                  <c:v>-21.061095238059576</c:v>
                </c:pt>
                <c:pt idx="13">
                  <c:v>-21.121746535506933</c:v>
                </c:pt>
                <c:pt idx="14">
                  <c:v>-21.019391161274534</c:v>
                </c:pt>
                <c:pt idx="15">
                  <c:v>-21.060342029686034</c:v>
                </c:pt>
                <c:pt idx="16">
                  <c:v>-20.997406089426704</c:v>
                </c:pt>
                <c:pt idx="17">
                  <c:v>-21.018037999956313</c:v>
                </c:pt>
              </c:numCache>
            </c:numRef>
          </c:xVal>
          <c:yVal>
            <c:numRef>
              <c:f>('one point'!$AZ$30:$AZ$31,'one point'!$BB$30:$BB$31,'one point'!$BD$30:$BD$31,'one point'!$BF$30:$BF$31,'one point'!$BH$30:$BH$31,'one point'!$BJ$30:$BJ$31,'one point'!$BL$30:$BL$31,'one point'!$BN$30:$BN$31,'one point'!$BP$30:$BP$31)</c:f>
              <c:numCache>
                <c:formatCode>General</c:formatCode>
                <c:ptCount val="18"/>
                <c:pt idx="0">
                  <c:v>4.6288115275246753</c:v>
                </c:pt>
                <c:pt idx="1">
                  <c:v>-3.875719938920803</c:v>
                </c:pt>
                <c:pt idx="2">
                  <c:v>4.3727981100479782</c:v>
                </c:pt>
                <c:pt idx="3">
                  <c:v>-3.6220806544051851</c:v>
                </c:pt>
                <c:pt idx="4">
                  <c:v>4.0253149561767971</c:v>
                </c:pt>
                <c:pt idx="5">
                  <c:v>-3.2775715248863899</c:v>
                </c:pt>
                <c:pt idx="6">
                  <c:v>3.6134877641304119</c:v>
                </c:pt>
                <c:pt idx="7">
                  <c:v>-2.8689041149452792</c:v>
                </c:pt>
                <c:pt idx="8">
                  <c:v>3.1502794324506143</c:v>
                </c:pt>
                <c:pt idx="9">
                  <c:v>-2.4087840876668256</c:v>
                </c:pt>
                <c:pt idx="10">
                  <c:v>2.6448895673346247</c:v>
                </c:pt>
                <c:pt idx="11">
                  <c:v>-1.9062097316776943</c:v>
                </c:pt>
                <c:pt idx="12">
                  <c:v>2.1055073728146665</c:v>
                </c:pt>
                <c:pt idx="13">
                  <c:v>-1.3692031308003341</c:v>
                </c:pt>
                <c:pt idx="14">
                  <c:v>1.5402890775257148</c:v>
                </c:pt>
                <c:pt idx="15">
                  <c:v>-0.80578460251542561</c:v>
                </c:pt>
                <c:pt idx="16">
                  <c:v>0.95769183358938015</c:v>
                </c:pt>
                <c:pt idx="17">
                  <c:v>-0.22430952902130386</c:v>
                </c:pt>
              </c:numCache>
            </c:numRef>
          </c:yVal>
          <c:smooth val="1"/>
        </c:ser>
        <c:ser>
          <c:idx val="12"/>
          <c:order val="23"/>
          <c:tx>
            <c:v>alfarisi3</c:v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'one point'!$AG$7:$AG$10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-9.8253586572876301</c:v>
                </c:pt>
                <c:pt idx="2">
                  <c:v>9.9884607728416448</c:v>
                </c:pt>
                <c:pt idx="3">
                  <c:v>73.127485292786417</c:v>
                </c:pt>
              </c:numCache>
            </c:numRef>
          </c:xVal>
          <c:yVal>
            <c:numRef>
              <c:f>'one point'!$AH$7:$AH$10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1.8607329888146338</c:v>
                </c:pt>
                <c:pt idx="2">
                  <c:v>0.47290787775305487</c:v>
                </c:pt>
                <c:pt idx="3">
                  <c:v>-11.27796828426194</c:v>
                </c:pt>
              </c:numCache>
            </c:numRef>
          </c:yVal>
          <c:smooth val="0"/>
        </c:ser>
        <c:ser>
          <c:idx val="22"/>
          <c:order val="24"/>
          <c:tx>
            <c:v>farisi3</c:v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'one point'!$AI$12:$AI$15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-9.8843119590732869</c:v>
                </c:pt>
                <c:pt idx="2">
                  <c:v>9.9658718254977785</c:v>
                </c:pt>
                <c:pt idx="3">
                  <c:v>73.476533421532082</c:v>
                </c:pt>
              </c:numCache>
            </c:numRef>
          </c:xVal>
          <c:yVal>
            <c:numRef>
              <c:f>'one point'!$AJ$12:$AJ$15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-1.5166994084922716</c:v>
                </c:pt>
                <c:pt idx="2">
                  <c:v>-0.82121204885631816</c:v>
                </c:pt>
                <c:pt idx="3">
                  <c:v>8.7189856188658847</c:v>
                </c:pt>
              </c:numCache>
            </c:numRef>
          </c:yVal>
          <c:smooth val="0"/>
        </c:ser>
        <c:ser>
          <c:idx val="25"/>
          <c:order val="25"/>
          <c:tx>
            <c:v>pi2ftera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'one point'!$AK$7:$AK$10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-2.5342620050618732</c:v>
                </c:pt>
                <c:pt idx="2">
                  <c:v>9.7044416542368523</c:v>
                </c:pt>
                <c:pt idx="3">
                  <c:v>7.7836392961723551</c:v>
                </c:pt>
              </c:numCache>
            </c:numRef>
          </c:xVal>
          <c:yVal>
            <c:numRef>
              <c:f>'one point'!$AL$7:$AL$10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9.6735472340656816</c:v>
                </c:pt>
                <c:pt idx="2">
                  <c:v>-2.4132575866477088</c:v>
                </c:pt>
                <c:pt idx="3">
                  <c:v>-10.137387209731591</c:v>
                </c:pt>
              </c:numCache>
            </c:numRef>
          </c:yVal>
          <c:smooth val="0"/>
        </c:ser>
        <c:ser>
          <c:idx val="26"/>
          <c:order val="26"/>
          <c:tx>
            <c:v>mionpi2ftera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'one point'!$AK$24:$AK$27</c:f>
              <c:numCache>
                <c:formatCode>General</c:formatCode>
                <c:ptCount val="4"/>
                <c:pt idx="0">
                  <c:v>-36.994364720786479</c:v>
                </c:pt>
                <c:pt idx="1">
                  <c:v>-2.8703201309186199</c:v>
                </c:pt>
                <c:pt idx="2">
                  <c:v>9.782751445773826</c:v>
                </c:pt>
                <c:pt idx="3">
                  <c:v>8.132687424918025</c:v>
                </c:pt>
              </c:numCache>
            </c:numRef>
          </c:xVal>
          <c:yVal>
            <c:numRef>
              <c:f>'one point'!$AL$24:$AL$27</c:f>
              <c:numCache>
                <c:formatCode>General</c:formatCode>
                <c:ptCount val="4"/>
                <c:pt idx="0">
                  <c:v>0.64573903817948997</c:v>
                </c:pt>
                <c:pt idx="1">
                  <c:v>-9.5792099019722574</c:v>
                </c:pt>
                <c:pt idx="2">
                  <c:v>2.0731073658183083</c:v>
                </c:pt>
                <c:pt idx="3">
                  <c:v>9.8595666933962338</c:v>
                </c:pt>
              </c:numCache>
            </c:numRef>
          </c:yVal>
          <c:smooth val="0"/>
        </c:ser>
        <c:ser>
          <c:idx val="28"/>
          <c:order val="27"/>
          <c:tx>
            <c:v>metopo 3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('one point'!$AY$32:$AY$33,'one point'!$BA$32:$BA$33,'one point'!$BC$32:$BC$33,'one point'!$BE$32:$BE$33,'one point'!$BG$32:$BG$33,'one point'!$BI$32:$BI$33,'one point'!$BK$32:$BK$33,'one point'!$BM$32:$BM$33,'one point'!$BO$32:$BO$33)</c:f>
              <c:numCache>
                <c:formatCode>General</c:formatCode>
                <c:ptCount val="18"/>
                <c:pt idx="0">
                  <c:v>-26.340662466900739</c:v>
                </c:pt>
                <c:pt idx="1">
                  <c:v>-26.442719881790715</c:v>
                </c:pt>
                <c:pt idx="2">
                  <c:v>-26.296965666348651</c:v>
                </c:pt>
                <c:pt idx="3">
                  <c:v>-26.392907066798298</c:v>
                </c:pt>
                <c:pt idx="4">
                  <c:v>-26.2425490201359</c:v>
                </c:pt>
                <c:pt idx="5">
                  <c:v>-26.33018626604802</c:v>
                </c:pt>
                <c:pt idx="6">
                  <c:v>-26.185245204534674</c:v>
                </c:pt>
                <c:pt idx="7">
                  <c:v>-26.263036222193023</c:v>
                </c:pt>
                <c:pt idx="8">
                  <c:v>-26.129966050590426</c:v>
                </c:pt>
                <c:pt idx="9">
                  <c:v>-26.196676798185493</c:v>
                </c:pt>
                <c:pt idx="10">
                  <c:v>-26.080567000022779</c:v>
                </c:pt>
                <c:pt idx="11">
                  <c:v>-26.135181816982108</c:v>
                </c:pt>
                <c:pt idx="12">
                  <c:v>-26.04024195141173</c:v>
                </c:pt>
                <c:pt idx="13">
                  <c:v>-26.081939718406787</c:v>
                </c:pt>
                <c:pt idx="14">
                  <c:v>-26.011570398622016</c:v>
                </c:pt>
                <c:pt idx="15">
                  <c:v>-26.03972412065492</c:v>
                </c:pt>
                <c:pt idx="16">
                  <c:v>-25.996455661726632</c:v>
                </c:pt>
                <c:pt idx="17">
                  <c:v>-26.010640100215742</c:v>
                </c:pt>
              </c:numCache>
            </c:numRef>
          </c:xVal>
          <c:yVal>
            <c:numRef>
              <c:f>('one point'!$AZ$32:$AZ$33,'one point'!$BB$32:$BB$33,'one point'!$BD$32:$BD$33,'one point'!$BF$32:$BF$33,'one point'!$BH$32:$BH$33,'one point'!$BJ$32:$BJ$33,'one point'!$BL$32:$BL$33,'one point'!$BN$32:$BN$33,'one point'!$BP$32:$BP$33)</c:f>
              <c:numCache>
                <c:formatCode>General</c:formatCode>
                <c:ptCount val="18"/>
                <c:pt idx="0">
                  <c:v>3.3841013746043043</c:v>
                </c:pt>
                <c:pt idx="1">
                  <c:v>-2.4627640085769613</c:v>
                </c:pt>
                <c:pt idx="2">
                  <c:v>3.2080921500890756</c:v>
                </c:pt>
                <c:pt idx="3">
                  <c:v>-2.2883870004724742</c:v>
                </c:pt>
                <c:pt idx="4">
                  <c:v>2.9691974818026385</c:v>
                </c:pt>
                <c:pt idx="5">
                  <c:v>-2.0515369739283025</c:v>
                </c:pt>
                <c:pt idx="6">
                  <c:v>2.6860662872707493</c:v>
                </c:pt>
                <c:pt idx="7">
                  <c:v>-1.770578129593789</c:v>
                </c:pt>
                <c:pt idx="8">
                  <c:v>2.3676105592408878</c:v>
                </c:pt>
                <c:pt idx="9">
                  <c:v>-1.4542456108398518</c:v>
                </c:pt>
                <c:pt idx="10">
                  <c:v>2.020155026973645</c:v>
                </c:pt>
                <c:pt idx="11">
                  <c:v>-1.1087257410973241</c:v>
                </c:pt>
                <c:pt idx="12">
                  <c:v>1.6493297682411736</c:v>
                </c:pt>
                <c:pt idx="13">
                  <c:v>-0.73953370299413879</c:v>
                </c:pt>
                <c:pt idx="14">
                  <c:v>1.2607421902300195</c:v>
                </c:pt>
                <c:pt idx="15">
                  <c:v>-0.35218346479826446</c:v>
                </c:pt>
                <c:pt idx="16">
                  <c:v>0.86020658502378944</c:v>
                </c:pt>
                <c:pt idx="17">
                  <c:v>4.7580648228944145E-2</c:v>
                </c:pt>
              </c:numCache>
            </c:numRef>
          </c:yVal>
          <c:smooth val="1"/>
        </c:ser>
        <c:ser>
          <c:idx val="29"/>
          <c:order val="28"/>
          <c:tx>
            <c:v>metopo 4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('one point'!$AY$34:$AY$35,'one point'!$BA$34:$BA$35,'one point'!$BC$34:$BC$35,'one point'!$BE$34:$BE$35,'one point'!$BG$34:$BG$35,'one point'!$BI$34:$BI$35,'one point'!$BK$34:$BK$35,'one point'!$BM$34:$BM$35,'one point'!$BO$34:$BO$35)</c:f>
              <c:numCache>
                <c:formatCode>General</c:formatCode>
                <c:ptCount val="18"/>
                <c:pt idx="0">
                  <c:v>-31.183254400485168</c:v>
                </c:pt>
                <c:pt idx="1">
                  <c:v>-31.238922081334245</c:v>
                </c:pt>
                <c:pt idx="2">
                  <c:v>-31.15941978200221</c:v>
                </c:pt>
                <c:pt idx="3">
                  <c:v>-31.211751454974745</c:v>
                </c:pt>
                <c:pt idx="4">
                  <c:v>-31.129737974977072</c:v>
                </c:pt>
                <c:pt idx="5">
                  <c:v>-31.177540109110954</c:v>
                </c:pt>
                <c:pt idx="6">
                  <c:v>-31.098481348285489</c:v>
                </c:pt>
                <c:pt idx="7">
                  <c:v>-31.140912812462773</c:v>
                </c:pt>
                <c:pt idx="8">
                  <c:v>-31.068329082497719</c:v>
                </c:pt>
                <c:pt idx="9">
                  <c:v>-31.10471676300412</c:v>
                </c:pt>
                <c:pt idx="10">
                  <c:v>-31.041384145824455</c:v>
                </c:pt>
                <c:pt idx="11">
                  <c:v>-31.07117404598409</c:v>
                </c:pt>
                <c:pt idx="12">
                  <c:v>-31.019388664763888</c:v>
                </c:pt>
                <c:pt idx="13">
                  <c:v>-31.042132901306644</c:v>
                </c:pt>
                <c:pt idx="14">
                  <c:v>-31.003749635969498</c:v>
                </c:pt>
                <c:pt idx="15">
                  <c:v>-31.019106211623814</c:v>
                </c:pt>
                <c:pt idx="16">
                  <c:v>-30.995505234026563</c:v>
                </c:pt>
                <c:pt idx="17">
                  <c:v>-31.003242200475167</c:v>
                </c:pt>
              </c:numCache>
            </c:numRef>
          </c:xVal>
          <c:yVal>
            <c:numRef>
              <c:f>('one point'!$AZ$34:$AZ$35,'one point'!$BB$34:$BB$35,'one point'!$BD$34:$BD$35,'one point'!$BF$34:$BF$35,'one point'!$BH$34:$BH$35,'one point'!$BJ$34:$BJ$35,'one point'!$BL$34:$BL$35,'one point'!$BN$34:$BN$35,'one point'!$BP$34:$BP$35)</c:f>
              <c:numCache>
                <c:formatCode>General</c:formatCode>
                <c:ptCount val="18"/>
                <c:pt idx="0">
                  <c:v>2.1393912216839341</c:v>
                </c:pt>
                <c:pt idx="1">
                  <c:v>-1.0498080782331198</c:v>
                </c:pt>
                <c:pt idx="2">
                  <c:v>2.0433861901301729</c:v>
                </c:pt>
                <c:pt idx="3">
                  <c:v>-0.95469334653976301</c:v>
                </c:pt>
                <c:pt idx="4">
                  <c:v>1.9130800074284799</c:v>
                </c:pt>
                <c:pt idx="5">
                  <c:v>-0.82550242297021503</c:v>
                </c:pt>
                <c:pt idx="6">
                  <c:v>1.7586448104110857</c:v>
                </c:pt>
                <c:pt idx="7">
                  <c:v>-0.6722521442422984</c:v>
                </c:pt>
                <c:pt idx="8">
                  <c:v>1.5849416860311618</c:v>
                </c:pt>
                <c:pt idx="9">
                  <c:v>-0.49970713401287858</c:v>
                </c:pt>
                <c:pt idx="10">
                  <c:v>1.3954204866126654</c:v>
                </c:pt>
                <c:pt idx="11">
                  <c:v>-0.31124175051695413</c:v>
                </c:pt>
                <c:pt idx="12">
                  <c:v>1.1931521636676812</c:v>
                </c:pt>
                <c:pt idx="13">
                  <c:v>-0.10986427518794406</c:v>
                </c:pt>
                <c:pt idx="14">
                  <c:v>0.98119530293432433</c:v>
                </c:pt>
                <c:pt idx="15">
                  <c:v>0.1014176729188967</c:v>
                </c:pt>
                <c:pt idx="16">
                  <c:v>0.76272133645819884</c:v>
                </c:pt>
                <c:pt idx="17">
                  <c:v>0.31947082547919226</c:v>
                </c:pt>
              </c:numCache>
            </c:numRef>
          </c:yVal>
          <c:smooth val="1"/>
        </c:ser>
        <c:ser>
          <c:idx val="30"/>
          <c:order val="29"/>
          <c:tx>
            <c:v>metopo 5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('one point'!$AY$36:$AY$37,'one point'!$BA$36:$BA$37,'one point'!$BC$36:$BC$37,'one point'!$BE$36:$BE$37,'one point'!$BG$36:$BG$37,'one point'!$BI$36:$BI$37,'one point'!$BK$36:$BK$37,'one point'!$BM$36:$BM$37,'one point'!$BO$36:$BO$37)</c:f>
              <c:numCache>
                <c:formatCode>General</c:formatCode>
                <c:ptCount val="18"/>
                <c:pt idx="0">
                  <c:v>-36.025846334069591</c:v>
                </c:pt>
                <c:pt idx="1">
                  <c:v>-36.035124280877774</c:v>
                </c:pt>
                <c:pt idx="2">
                  <c:v>-36.021873897655766</c:v>
                </c:pt>
                <c:pt idx="3">
                  <c:v>-36.03059584315119</c:v>
                </c:pt>
                <c:pt idx="4">
                  <c:v>-36.01692692981824</c:v>
                </c:pt>
                <c:pt idx="5">
                  <c:v>-36.024893952173883</c:v>
                </c:pt>
                <c:pt idx="6">
                  <c:v>-36.011717492036318</c:v>
                </c:pt>
                <c:pt idx="7">
                  <c:v>-36.01878940273253</c:v>
                </c:pt>
                <c:pt idx="8">
                  <c:v>-36.006692114405013</c:v>
                </c:pt>
                <c:pt idx="9">
                  <c:v>-36.012756727822747</c:v>
                </c:pt>
                <c:pt idx="10">
                  <c:v>-36.002201291626136</c:v>
                </c:pt>
                <c:pt idx="11">
                  <c:v>-36.007166274986076</c:v>
                </c:pt>
                <c:pt idx="12">
                  <c:v>-35.998535378116053</c:v>
                </c:pt>
                <c:pt idx="13">
                  <c:v>-36.002326084206508</c:v>
                </c:pt>
                <c:pt idx="14">
                  <c:v>-35.995928873316984</c:v>
                </c:pt>
                <c:pt idx="15">
                  <c:v>-35.998488302592705</c:v>
                </c:pt>
                <c:pt idx="16">
                  <c:v>-35.994554806326491</c:v>
                </c:pt>
                <c:pt idx="17">
                  <c:v>-35.995844300734589</c:v>
                </c:pt>
              </c:numCache>
            </c:numRef>
          </c:xVal>
          <c:yVal>
            <c:numRef>
              <c:f>('one point'!$AZ$36:$AZ$37,'one point'!$BB$36:$BB$37,'one point'!$BD$36:$BD$37,'one point'!$BF$36:$BF$37,'one point'!$BH$36:$BH$37,'one point'!$BJ$36:$BJ$37,'one point'!$BL$36:$BL$37,'one point'!$BN$36:$BN$37,'one point'!$BP$36:$BP$37)</c:f>
              <c:numCache>
                <c:formatCode>General</c:formatCode>
                <c:ptCount val="18"/>
                <c:pt idx="0">
                  <c:v>0.89468106876356401</c:v>
                </c:pt>
                <c:pt idx="1">
                  <c:v>0.36314785211072165</c:v>
                </c:pt>
                <c:pt idx="2">
                  <c:v>0.87868023017127039</c:v>
                </c:pt>
                <c:pt idx="3">
                  <c:v>0.37900030739294777</c:v>
                </c:pt>
                <c:pt idx="4">
                  <c:v>0.85696253305432157</c:v>
                </c:pt>
                <c:pt idx="5">
                  <c:v>0.40053212798787241</c:v>
                </c:pt>
                <c:pt idx="6">
                  <c:v>0.83122333355142264</c:v>
                </c:pt>
                <c:pt idx="7">
                  <c:v>0.42607384110919189</c:v>
                </c:pt>
                <c:pt idx="8">
                  <c:v>0.80227281282143525</c:v>
                </c:pt>
                <c:pt idx="9">
                  <c:v>0.45483134281409521</c:v>
                </c:pt>
                <c:pt idx="10">
                  <c:v>0.77068594625168574</c:v>
                </c:pt>
                <c:pt idx="11">
                  <c:v>0.48624224006341588</c:v>
                </c:pt>
                <c:pt idx="12">
                  <c:v>0.73697455909418852</c:v>
                </c:pt>
                <c:pt idx="13">
                  <c:v>0.519805152618251</c:v>
                </c:pt>
                <c:pt idx="14">
                  <c:v>0.70164841563862901</c:v>
                </c:pt>
                <c:pt idx="15">
                  <c:v>0.55501881063605774</c:v>
                </c:pt>
                <c:pt idx="16">
                  <c:v>0.66523608789260802</c:v>
                </c:pt>
                <c:pt idx="17">
                  <c:v>0.59136100272944025</c:v>
                </c:pt>
              </c:numCache>
            </c:numRef>
          </c:yVal>
          <c:smooth val="1"/>
        </c:ser>
        <c:ser>
          <c:idx val="31"/>
          <c:order val="30"/>
          <c:tx>
            <c:v>metopo 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('one point'!$AY$38:$AY$39,'one point'!$BA$38:$BA$39,'one point'!$BC$38:$BC$39,'one point'!$BE$38:$BE$39,'one point'!$BG$38:$BG$39,'one point'!$BI$38:$BI$39,'one point'!$BK$38:$BK$39,'one point'!$BM$38:$BM$39,'one point'!$BO$38:$BO$39)</c:f>
              <c:numCache>
                <c:formatCode>General</c:formatCode>
                <c:ptCount val="18"/>
                <c:pt idx="0">
                  <c:v>-36.994364720786479</c:v>
                </c:pt>
                <c:pt idx="1">
                  <c:v>-36.994364720786479</c:v>
                </c:pt>
                <c:pt idx="2">
                  <c:v>-36.994364720786479</c:v>
                </c:pt>
                <c:pt idx="3">
                  <c:v>-36.994364720786479</c:v>
                </c:pt>
                <c:pt idx="4">
                  <c:v>-36.994364720786479</c:v>
                </c:pt>
                <c:pt idx="5">
                  <c:v>-36.994364720786479</c:v>
                </c:pt>
                <c:pt idx="6">
                  <c:v>-36.994364720786479</c:v>
                </c:pt>
                <c:pt idx="7">
                  <c:v>-36.994364720786479</c:v>
                </c:pt>
                <c:pt idx="8">
                  <c:v>-36.994364720786479</c:v>
                </c:pt>
                <c:pt idx="9">
                  <c:v>-36.994364720786479</c:v>
                </c:pt>
                <c:pt idx="10">
                  <c:v>-36.994364720786479</c:v>
                </c:pt>
                <c:pt idx="11">
                  <c:v>-36.994364720786479</c:v>
                </c:pt>
                <c:pt idx="12">
                  <c:v>-36.994364720786479</c:v>
                </c:pt>
                <c:pt idx="13">
                  <c:v>-36.994364720786479</c:v>
                </c:pt>
                <c:pt idx="14">
                  <c:v>-36.994364720786479</c:v>
                </c:pt>
                <c:pt idx="15">
                  <c:v>-36.994364720786479</c:v>
                </c:pt>
                <c:pt idx="16">
                  <c:v>-36.994364720786479</c:v>
                </c:pt>
                <c:pt idx="17">
                  <c:v>-36.994364720786479</c:v>
                </c:pt>
              </c:numCache>
            </c:numRef>
          </c:xVal>
          <c:yVal>
            <c:numRef>
              <c:f>('one point'!$AZ$38:$AZ$39,'one point'!$BB$38:$BB$39,'one point'!$BD$38:$BD$39,'one point'!$BF$38:$BF$39,'one point'!$BH$38:$BH$39,'one point'!$BJ$38:$BJ$39,'one point'!$BL$38:$BL$39,'one point'!$BN$38:$BN$39,'one point'!$BP$38:$BP$39)</c:f>
              <c:numCache>
                <c:formatCode>General</c:formatCode>
                <c:ptCount val="18"/>
                <c:pt idx="0">
                  <c:v>0.64573903817948997</c:v>
                </c:pt>
                <c:pt idx="1">
                  <c:v>0.64573903817948997</c:v>
                </c:pt>
                <c:pt idx="2">
                  <c:v>0.64573903817948997</c:v>
                </c:pt>
                <c:pt idx="3">
                  <c:v>0.64573903817948997</c:v>
                </c:pt>
                <c:pt idx="4">
                  <c:v>0.64573903817948997</c:v>
                </c:pt>
                <c:pt idx="5">
                  <c:v>0.64573903817948997</c:v>
                </c:pt>
                <c:pt idx="6">
                  <c:v>0.64573903817948997</c:v>
                </c:pt>
                <c:pt idx="7">
                  <c:v>0.64573903817948997</c:v>
                </c:pt>
                <c:pt idx="8">
                  <c:v>0.64573903817948997</c:v>
                </c:pt>
                <c:pt idx="9">
                  <c:v>0.64573903817948997</c:v>
                </c:pt>
                <c:pt idx="10">
                  <c:v>0.64573903817948997</c:v>
                </c:pt>
                <c:pt idx="11">
                  <c:v>0.64573903817948997</c:v>
                </c:pt>
                <c:pt idx="12">
                  <c:v>0.64573903817948997</c:v>
                </c:pt>
                <c:pt idx="13">
                  <c:v>0.64573903817948997</c:v>
                </c:pt>
                <c:pt idx="14">
                  <c:v>0.64573903817948997</c:v>
                </c:pt>
                <c:pt idx="15">
                  <c:v>0.64573903817948997</c:v>
                </c:pt>
                <c:pt idx="16">
                  <c:v>0.64573903817948997</c:v>
                </c:pt>
                <c:pt idx="17">
                  <c:v>0.64573903817948997</c:v>
                </c:pt>
              </c:numCache>
            </c:numRef>
          </c:yVal>
          <c:smooth val="1"/>
        </c:ser>
        <c:ser>
          <c:idx val="32"/>
          <c:order val="31"/>
          <c:tx>
            <c:v>metopo 7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('one point'!$AY$40:$AY$41,'one point'!$BA$40:$BA$41,'one point'!$BC$40:$BC$41,'one point'!$BE$40:$BE$41,'one point'!$BG$40:$BG$41,'one point'!$BI$40:$BI$41,'one point'!$BK$40:$BK$41,'one point'!$BM$40:$BM$41,'one point'!$BO$40:$BO$41)</c:f>
              <c:numCache>
                <c:formatCode>General</c:formatCode>
                <c:ptCount val="18"/>
                <c:pt idx="0">
                  <c:v>-36.994364720786479</c:v>
                </c:pt>
                <c:pt idx="1">
                  <c:v>-36.994364720786479</c:v>
                </c:pt>
                <c:pt idx="2">
                  <c:v>-36.994364720786479</c:v>
                </c:pt>
                <c:pt idx="3">
                  <c:v>-36.994364720786479</c:v>
                </c:pt>
                <c:pt idx="4">
                  <c:v>-36.994364720786479</c:v>
                </c:pt>
                <c:pt idx="5">
                  <c:v>-36.994364720786479</c:v>
                </c:pt>
                <c:pt idx="6">
                  <c:v>-36.994364720786479</c:v>
                </c:pt>
                <c:pt idx="7">
                  <c:v>-36.994364720786479</c:v>
                </c:pt>
                <c:pt idx="8">
                  <c:v>-36.994364720786479</c:v>
                </c:pt>
                <c:pt idx="9">
                  <c:v>-36.994364720786479</c:v>
                </c:pt>
                <c:pt idx="10">
                  <c:v>-36.994364720786479</c:v>
                </c:pt>
                <c:pt idx="11">
                  <c:v>-36.994364720786479</c:v>
                </c:pt>
                <c:pt idx="12">
                  <c:v>-36.994364720786479</c:v>
                </c:pt>
                <c:pt idx="13">
                  <c:v>-36.994364720786479</c:v>
                </c:pt>
                <c:pt idx="14">
                  <c:v>-36.994364720786479</c:v>
                </c:pt>
                <c:pt idx="15">
                  <c:v>-36.994364720786479</c:v>
                </c:pt>
                <c:pt idx="16">
                  <c:v>-36.994364720786479</c:v>
                </c:pt>
                <c:pt idx="17">
                  <c:v>-36.994364720786479</c:v>
                </c:pt>
              </c:numCache>
            </c:numRef>
          </c:xVal>
          <c:yVal>
            <c:numRef>
              <c:f>('one point'!$AZ$40:$AZ$41,'one point'!$BB$40:$BB$41,'one point'!$BD$40:$BD$41,'one point'!$BF$40:$BF$41,'one point'!$BH$40:$BH$41,'one point'!$BJ$40:$BJ$41,'one point'!$BL$40:$BL$41,'one point'!$BN$40:$BN$41,'one point'!$BP$40:$BP$41)</c:f>
              <c:numCache>
                <c:formatCode>General</c:formatCode>
                <c:ptCount val="18"/>
                <c:pt idx="0">
                  <c:v>0.64573903817948997</c:v>
                </c:pt>
                <c:pt idx="1">
                  <c:v>0.64573903817948997</c:v>
                </c:pt>
                <c:pt idx="2">
                  <c:v>0.64573903817948997</c:v>
                </c:pt>
                <c:pt idx="3">
                  <c:v>0.64573903817948997</c:v>
                </c:pt>
                <c:pt idx="4">
                  <c:v>0.64573903817948997</c:v>
                </c:pt>
                <c:pt idx="5">
                  <c:v>0.64573903817948997</c:v>
                </c:pt>
                <c:pt idx="6">
                  <c:v>0.64573903817948997</c:v>
                </c:pt>
                <c:pt idx="7">
                  <c:v>0.64573903817948997</c:v>
                </c:pt>
                <c:pt idx="8">
                  <c:v>0.64573903817948997</c:v>
                </c:pt>
                <c:pt idx="9">
                  <c:v>0.64573903817948997</c:v>
                </c:pt>
                <c:pt idx="10">
                  <c:v>0.64573903817948997</c:v>
                </c:pt>
                <c:pt idx="11">
                  <c:v>0.64573903817948997</c:v>
                </c:pt>
                <c:pt idx="12">
                  <c:v>0.64573903817948997</c:v>
                </c:pt>
                <c:pt idx="13">
                  <c:v>0.64573903817948997</c:v>
                </c:pt>
                <c:pt idx="14">
                  <c:v>0.64573903817948997</c:v>
                </c:pt>
                <c:pt idx="15">
                  <c:v>0.64573903817948997</c:v>
                </c:pt>
                <c:pt idx="16">
                  <c:v>0.64573903817948997</c:v>
                </c:pt>
                <c:pt idx="17">
                  <c:v>0.64573903817948997</c:v>
                </c:pt>
              </c:numCache>
            </c:numRef>
          </c:yVal>
          <c:smooth val="1"/>
        </c:ser>
        <c:ser>
          <c:idx val="33"/>
          <c:order val="32"/>
          <c:tx>
            <c:v>metopo 8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('one point'!$AY$42:$AY$43,'one point'!$BA$42:$BA$43,'one point'!$BC$42:$BC$43,'one point'!$BE$42:$BE$43,'one point'!$BG$42:$BG$43,'one point'!$BI$42:$BI$43,'one point'!$BK$42:$BK$43,'one point'!$BM$42:$BM$43,'one point'!$BO$42:$BO$43)</c:f>
              <c:numCache>
                <c:formatCode>General</c:formatCode>
                <c:ptCount val="18"/>
                <c:pt idx="0">
                  <c:v>-36.994364720786479</c:v>
                </c:pt>
                <c:pt idx="1">
                  <c:v>-36.994364720786479</c:v>
                </c:pt>
                <c:pt idx="2">
                  <c:v>-36.994364720786479</c:v>
                </c:pt>
                <c:pt idx="3">
                  <c:v>-36.994364720786479</c:v>
                </c:pt>
                <c:pt idx="4">
                  <c:v>-36.994364720786479</c:v>
                </c:pt>
                <c:pt idx="5">
                  <c:v>-36.994364720786479</c:v>
                </c:pt>
                <c:pt idx="6">
                  <c:v>-36.994364720786479</c:v>
                </c:pt>
                <c:pt idx="7">
                  <c:v>-36.994364720786479</c:v>
                </c:pt>
                <c:pt idx="8">
                  <c:v>-36.994364720786479</c:v>
                </c:pt>
                <c:pt idx="9">
                  <c:v>-36.994364720786479</c:v>
                </c:pt>
                <c:pt idx="10">
                  <c:v>-36.994364720786479</c:v>
                </c:pt>
                <c:pt idx="11">
                  <c:v>-36.994364720786479</c:v>
                </c:pt>
                <c:pt idx="12">
                  <c:v>-36.994364720786479</c:v>
                </c:pt>
                <c:pt idx="13">
                  <c:v>-36.994364720786479</c:v>
                </c:pt>
                <c:pt idx="14">
                  <c:v>-36.994364720786479</c:v>
                </c:pt>
                <c:pt idx="15">
                  <c:v>-36.994364720786479</c:v>
                </c:pt>
                <c:pt idx="16">
                  <c:v>-36.994364720786479</c:v>
                </c:pt>
                <c:pt idx="17">
                  <c:v>-36.994364720786479</c:v>
                </c:pt>
              </c:numCache>
            </c:numRef>
          </c:xVal>
          <c:yVal>
            <c:numRef>
              <c:f>('one point'!$AZ$42:$AZ$43,'one point'!$BB$42:$BB$43,'one point'!$BD$42:$BD$43,'one point'!$BF$42:$BF$43,'one point'!$BH$42:$BH$43,'one point'!$BJ$42:$BJ$43,'one point'!$BL$42:$BL$43,'one point'!$BN$42:$BN$43,'one point'!$BP$42:$BP$43)</c:f>
              <c:numCache>
                <c:formatCode>General</c:formatCode>
                <c:ptCount val="18"/>
                <c:pt idx="0">
                  <c:v>0.64573903817948997</c:v>
                </c:pt>
                <c:pt idx="1">
                  <c:v>0.64573903817948997</c:v>
                </c:pt>
                <c:pt idx="2">
                  <c:v>0.64573903817948997</c:v>
                </c:pt>
                <c:pt idx="3">
                  <c:v>0.64573903817948997</c:v>
                </c:pt>
                <c:pt idx="4">
                  <c:v>0.64573903817948997</c:v>
                </c:pt>
                <c:pt idx="5">
                  <c:v>0.64573903817948997</c:v>
                </c:pt>
                <c:pt idx="6">
                  <c:v>0.64573903817948997</c:v>
                </c:pt>
                <c:pt idx="7">
                  <c:v>0.64573903817948997</c:v>
                </c:pt>
                <c:pt idx="8">
                  <c:v>0.64573903817948997</c:v>
                </c:pt>
                <c:pt idx="9">
                  <c:v>0.64573903817948997</c:v>
                </c:pt>
                <c:pt idx="10">
                  <c:v>0.64573903817948997</c:v>
                </c:pt>
                <c:pt idx="11">
                  <c:v>0.64573903817948997</c:v>
                </c:pt>
                <c:pt idx="12">
                  <c:v>0.64573903817948997</c:v>
                </c:pt>
                <c:pt idx="13">
                  <c:v>0.64573903817948997</c:v>
                </c:pt>
                <c:pt idx="14">
                  <c:v>0.64573903817948997</c:v>
                </c:pt>
                <c:pt idx="15">
                  <c:v>0.64573903817948997</c:v>
                </c:pt>
                <c:pt idx="16">
                  <c:v>0.64573903817948997</c:v>
                </c:pt>
                <c:pt idx="17">
                  <c:v>0.64573903817948997</c:v>
                </c:pt>
              </c:numCache>
            </c:numRef>
          </c:yVal>
          <c:smooth val="1"/>
        </c:ser>
        <c:ser>
          <c:idx val="34"/>
          <c:order val="33"/>
          <c:tx>
            <c:v>metopo 9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('one point'!$AY$44:$AY$45,'one point'!$BA$44:$BA$45,'one point'!$BC$44:$BC$45,'one point'!$BE$44:$BE$45,'one point'!$BG$44:$BG$45,'one point'!$BI$44:$BI$45,'one point'!$BK$44:$BK$45,'one point'!$BM$44:$BM$45,'one point'!$BO$44:$BO$45)</c:f>
              <c:numCache>
                <c:formatCode>General</c:formatCode>
                <c:ptCount val="18"/>
                <c:pt idx="0">
                  <c:v>-36.994364720786479</c:v>
                </c:pt>
                <c:pt idx="1">
                  <c:v>-36.994364720786479</c:v>
                </c:pt>
                <c:pt idx="2">
                  <c:v>-36.994364720786479</c:v>
                </c:pt>
                <c:pt idx="3">
                  <c:v>-36.994364720786479</c:v>
                </c:pt>
                <c:pt idx="4">
                  <c:v>-36.994364720786479</c:v>
                </c:pt>
                <c:pt idx="5">
                  <c:v>-36.994364720786479</c:v>
                </c:pt>
                <c:pt idx="6">
                  <c:v>-36.994364720786479</c:v>
                </c:pt>
                <c:pt idx="7">
                  <c:v>-36.994364720786479</c:v>
                </c:pt>
                <c:pt idx="8">
                  <c:v>-36.994364720786479</c:v>
                </c:pt>
                <c:pt idx="9">
                  <c:v>-36.994364720786479</c:v>
                </c:pt>
                <c:pt idx="10">
                  <c:v>-36.994364720786479</c:v>
                </c:pt>
                <c:pt idx="11">
                  <c:v>-36.994364720786479</c:v>
                </c:pt>
                <c:pt idx="12">
                  <c:v>-36.994364720786479</c:v>
                </c:pt>
                <c:pt idx="13">
                  <c:v>-36.994364720786479</c:v>
                </c:pt>
                <c:pt idx="14">
                  <c:v>-36.994364720786479</c:v>
                </c:pt>
                <c:pt idx="15">
                  <c:v>-36.994364720786479</c:v>
                </c:pt>
                <c:pt idx="16">
                  <c:v>-36.994364720786479</c:v>
                </c:pt>
                <c:pt idx="17">
                  <c:v>-36.994364720786479</c:v>
                </c:pt>
              </c:numCache>
            </c:numRef>
          </c:xVal>
          <c:yVal>
            <c:numRef>
              <c:f>('one point'!$AZ$44:$AZ$45,'one point'!$BB$44:$BB$45,'one point'!$BD$44:$BD$45,'one point'!$BF$44:$BF$45,'one point'!$BH$44:$BH$45,'one point'!$BJ$44:$BJ$45,'one point'!$BL$44:$BL$45,'one point'!$BN$44:$BN$45,'one point'!$BP$44:$BP$45)</c:f>
              <c:numCache>
                <c:formatCode>General</c:formatCode>
                <c:ptCount val="18"/>
                <c:pt idx="0">
                  <c:v>0.64573903817948997</c:v>
                </c:pt>
                <c:pt idx="1">
                  <c:v>0.64573903817948997</c:v>
                </c:pt>
                <c:pt idx="2">
                  <c:v>0.64573903817948997</c:v>
                </c:pt>
                <c:pt idx="3">
                  <c:v>0.64573903817948997</c:v>
                </c:pt>
                <c:pt idx="4">
                  <c:v>0.64573903817948997</c:v>
                </c:pt>
                <c:pt idx="5">
                  <c:v>0.64573903817948997</c:v>
                </c:pt>
                <c:pt idx="6">
                  <c:v>0.64573903817948997</c:v>
                </c:pt>
                <c:pt idx="7">
                  <c:v>0.64573903817948997</c:v>
                </c:pt>
                <c:pt idx="8">
                  <c:v>0.64573903817948997</c:v>
                </c:pt>
                <c:pt idx="9">
                  <c:v>0.64573903817948997</c:v>
                </c:pt>
                <c:pt idx="10">
                  <c:v>0.64573903817948997</c:v>
                </c:pt>
                <c:pt idx="11">
                  <c:v>0.64573903817948997</c:v>
                </c:pt>
                <c:pt idx="12">
                  <c:v>0.64573903817948997</c:v>
                </c:pt>
                <c:pt idx="13">
                  <c:v>0.64573903817948997</c:v>
                </c:pt>
                <c:pt idx="14">
                  <c:v>0.64573903817948997</c:v>
                </c:pt>
                <c:pt idx="15">
                  <c:v>0.64573903817948997</c:v>
                </c:pt>
                <c:pt idx="16">
                  <c:v>0.64573903817948997</c:v>
                </c:pt>
                <c:pt idx="17">
                  <c:v>0.64573903817948997</c:v>
                </c:pt>
              </c:numCache>
            </c:numRef>
          </c:yVal>
          <c:smooth val="1"/>
        </c:ser>
        <c:ser>
          <c:idx val="35"/>
          <c:order val="34"/>
          <c:tx>
            <c:v>metopo 10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('one point'!$AY$46:$AY$47,'one point'!$BA$46:$BA$47,'one point'!$BC$46:$BC$47,'one point'!$BE$46:$BE$47,'one point'!$BG$46:$BG$47,'one point'!$BI$46:$BI$47,'one point'!$BK$46:$BK$47,'one point'!$BM$46:$BM$47,'one point'!$BO$46:$BO$47)</c:f>
              <c:numCache>
                <c:formatCode>General</c:formatCode>
                <c:ptCount val="18"/>
                <c:pt idx="0">
                  <c:v>-36.994364720786479</c:v>
                </c:pt>
                <c:pt idx="1">
                  <c:v>-36.994364720786479</c:v>
                </c:pt>
                <c:pt idx="2">
                  <c:v>-36.994364720786479</c:v>
                </c:pt>
                <c:pt idx="3">
                  <c:v>-36.994364720786479</c:v>
                </c:pt>
                <c:pt idx="4">
                  <c:v>-36.994364720786479</c:v>
                </c:pt>
                <c:pt idx="5">
                  <c:v>-36.994364720786479</c:v>
                </c:pt>
                <c:pt idx="6">
                  <c:v>-36.994364720786479</c:v>
                </c:pt>
                <c:pt idx="7">
                  <c:v>-36.994364720786479</c:v>
                </c:pt>
                <c:pt idx="8">
                  <c:v>-36.994364720786479</c:v>
                </c:pt>
                <c:pt idx="9">
                  <c:v>-36.994364720786479</c:v>
                </c:pt>
                <c:pt idx="10">
                  <c:v>-36.994364720786479</c:v>
                </c:pt>
                <c:pt idx="11">
                  <c:v>-36.994364720786479</c:v>
                </c:pt>
                <c:pt idx="12">
                  <c:v>-36.994364720786479</c:v>
                </c:pt>
                <c:pt idx="13">
                  <c:v>-36.994364720786479</c:v>
                </c:pt>
                <c:pt idx="14">
                  <c:v>-36.994364720786479</c:v>
                </c:pt>
                <c:pt idx="15">
                  <c:v>-36.994364720786479</c:v>
                </c:pt>
                <c:pt idx="16">
                  <c:v>-36.994364720786479</c:v>
                </c:pt>
                <c:pt idx="17">
                  <c:v>-36.994364720786479</c:v>
                </c:pt>
              </c:numCache>
            </c:numRef>
          </c:xVal>
          <c:yVal>
            <c:numRef>
              <c:f>('one point'!$AZ$46:$AZ$47,'one point'!$BB$46:$BB$47,'one point'!$BD$46:$BD$47,'one point'!$BF$46:$BF$47,'one point'!$BH$46:$BH$47,'one point'!$BJ$46:$BJ$47,'one point'!$BL$46:$BL$47,'one point'!$BN$46:$BN$47,'one point'!$BP$46:$BP$47)</c:f>
              <c:numCache>
                <c:formatCode>General</c:formatCode>
                <c:ptCount val="18"/>
                <c:pt idx="0">
                  <c:v>0.64573903817948997</c:v>
                </c:pt>
                <c:pt idx="1">
                  <c:v>0.64573903817948997</c:v>
                </c:pt>
                <c:pt idx="2">
                  <c:v>0.64573903817948997</c:v>
                </c:pt>
                <c:pt idx="3">
                  <c:v>0.64573903817948997</c:v>
                </c:pt>
                <c:pt idx="4">
                  <c:v>0.64573903817948997</c:v>
                </c:pt>
                <c:pt idx="5">
                  <c:v>0.64573903817948997</c:v>
                </c:pt>
                <c:pt idx="6">
                  <c:v>0.64573903817948997</c:v>
                </c:pt>
                <c:pt idx="7">
                  <c:v>0.64573903817948997</c:v>
                </c:pt>
                <c:pt idx="8">
                  <c:v>0.64573903817948997</c:v>
                </c:pt>
                <c:pt idx="9">
                  <c:v>0.64573903817948997</c:v>
                </c:pt>
                <c:pt idx="10">
                  <c:v>0.64573903817948997</c:v>
                </c:pt>
                <c:pt idx="11">
                  <c:v>0.64573903817948997</c:v>
                </c:pt>
                <c:pt idx="12">
                  <c:v>0.64573903817948997</c:v>
                </c:pt>
                <c:pt idx="13">
                  <c:v>0.64573903817948997</c:v>
                </c:pt>
                <c:pt idx="14">
                  <c:v>0.64573903817948997</c:v>
                </c:pt>
                <c:pt idx="15">
                  <c:v>0.64573903817948997</c:v>
                </c:pt>
                <c:pt idx="16">
                  <c:v>0.64573903817948997</c:v>
                </c:pt>
                <c:pt idx="17">
                  <c:v>0.64573903817948997</c:v>
                </c:pt>
              </c:numCache>
            </c:numRef>
          </c:yVal>
          <c:smooth val="1"/>
        </c:ser>
        <c:ser>
          <c:idx val="36"/>
          <c:order val="35"/>
          <c:tx>
            <c:v>metopo 1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002060"/>
              </a:solidFill>
            </c:spPr>
          </c:marker>
          <c:xVal>
            <c:numRef>
              <c:f>('one point'!$AY$28:$AY$29,'one point'!$BA$28:$BA$29,'one point'!$BC$28:$BC$29,'one point'!$BE$28:$BE$29,'one point'!$BG$28:$BG$29,'one point'!$BI$28:$BI$29,'one point'!$BK$28:$BK$29,'one point'!$BM$28:$BM$29,'one point'!$BO$28:$BO$29)</c:f>
              <c:numCache>
                <c:formatCode>General</c:formatCode>
                <c:ptCount val="18"/>
                <c:pt idx="0">
                  <c:v>-16.655478599731889</c:v>
                </c:pt>
                <c:pt idx="1">
                  <c:v>-16.85031548270366</c:v>
                </c:pt>
                <c:pt idx="2">
                  <c:v>-16.572057435041536</c:v>
                </c:pt>
                <c:pt idx="3">
                  <c:v>-16.755218290445406</c:v>
                </c:pt>
                <c:pt idx="4">
                  <c:v>-16.468171110453554</c:v>
                </c:pt>
                <c:pt idx="5">
                  <c:v>-16.63547857992215</c:v>
                </c:pt>
                <c:pt idx="6">
                  <c:v>-16.358772917033029</c:v>
                </c:pt>
                <c:pt idx="7">
                  <c:v>-16.507283041653515</c:v>
                </c:pt>
                <c:pt idx="8">
                  <c:v>-16.253239986775839</c:v>
                </c:pt>
                <c:pt idx="9">
                  <c:v>-16.380596868548238</c:v>
                </c:pt>
                <c:pt idx="10">
                  <c:v>-16.15893270841941</c:v>
                </c:pt>
                <c:pt idx="11">
                  <c:v>-16.263197358978129</c:v>
                </c:pt>
                <c:pt idx="12">
                  <c:v>-16.081948524707418</c:v>
                </c:pt>
                <c:pt idx="13">
                  <c:v>-16.161553352607076</c:v>
                </c:pt>
                <c:pt idx="14">
                  <c:v>-16.027211923927048</c:v>
                </c:pt>
                <c:pt idx="15">
                  <c:v>-16.080959938717143</c:v>
                </c:pt>
                <c:pt idx="16">
                  <c:v>-15.998356517126776</c:v>
                </c:pt>
                <c:pt idx="17">
                  <c:v>-16.025435899696891</c:v>
                </c:pt>
              </c:numCache>
            </c:numRef>
          </c:xVal>
          <c:yVal>
            <c:numRef>
              <c:f>('one point'!$AZ$28:$AZ$29,'one point'!$BB$28:$BB$29,'one point'!$BD$28:$BD$29,'one point'!$BF$28:$BF$29,'one point'!$BH$28:$BH$29,'one point'!$BJ$28:$BJ$29,'one point'!$BL$28:$BL$29,'one point'!$BN$28:$BN$29,'one point'!$BP$28:$BP$29)</c:f>
              <c:numCache>
                <c:formatCode>General</c:formatCode>
                <c:ptCount val="18"/>
                <c:pt idx="0">
                  <c:v>5.8735216804450454</c:v>
                </c:pt>
                <c:pt idx="1">
                  <c:v>-5.2886758692646447</c:v>
                </c:pt>
                <c:pt idx="2">
                  <c:v>5.5375040700068805</c:v>
                </c:pt>
                <c:pt idx="3">
                  <c:v>-4.9557743083378956</c:v>
                </c:pt>
                <c:pt idx="4">
                  <c:v>5.0814324305509544</c:v>
                </c:pt>
                <c:pt idx="5">
                  <c:v>-4.5036060758444769</c:v>
                </c:pt>
                <c:pt idx="6">
                  <c:v>4.5409092409900751</c:v>
                </c:pt>
                <c:pt idx="7">
                  <c:v>-3.9672301002967689</c:v>
                </c:pt>
                <c:pt idx="8">
                  <c:v>3.9329483056603407</c:v>
                </c:pt>
                <c:pt idx="9">
                  <c:v>-3.363322564493799</c:v>
                </c:pt>
                <c:pt idx="10">
                  <c:v>3.2696241076956039</c:v>
                </c:pt>
                <c:pt idx="11">
                  <c:v>-2.7036937222580644</c:v>
                </c:pt>
                <c:pt idx="12">
                  <c:v>2.5616849773881589</c:v>
                </c:pt>
                <c:pt idx="13">
                  <c:v>-1.998872558606529</c:v>
                </c:pt>
                <c:pt idx="14">
                  <c:v>1.81983596482141</c:v>
                </c:pt>
                <c:pt idx="15">
                  <c:v>-1.2593857402325865</c:v>
                </c:pt>
                <c:pt idx="16">
                  <c:v>1.0551770821549709</c:v>
                </c:pt>
                <c:pt idx="17">
                  <c:v>-0.4961997062715518</c:v>
                </c:pt>
              </c:numCache>
            </c:numRef>
          </c:yVal>
          <c:smooth val="1"/>
        </c:ser>
        <c:ser>
          <c:idx val="27"/>
          <c:order val="36"/>
          <c:tx>
            <c:v>line1</c:v>
          </c:tx>
          <c:spPr>
            <a:ln>
              <a:solidFill>
                <a:schemeClr val="accent1">
                  <a:lumMod val="50000"/>
                </a:schemeClr>
              </a:solidFill>
              <a:prstDash val="dash"/>
            </a:ln>
          </c:spPr>
          <c:marker>
            <c:symbol val="none"/>
          </c:marker>
          <c:xVal>
            <c:numRef>
              <c:f>'one point'!$A$47:$A$49</c:f>
              <c:numCache>
                <c:formatCode>General</c:formatCode>
                <c:ptCount val="3"/>
                <c:pt idx="0">
                  <c:v>-36.994364720786479</c:v>
                </c:pt>
                <c:pt idx="1">
                  <c:v>0</c:v>
                </c:pt>
                <c:pt idx="2">
                  <c:v>60</c:v>
                </c:pt>
              </c:numCache>
            </c:numRef>
          </c:xVal>
          <c:yVal>
            <c:numRef>
              <c:f>'one point'!$B$47:$B$49</c:f>
              <c:numCache>
                <c:formatCode>General</c:formatCode>
                <c:ptCount val="3"/>
                <c:pt idx="0">
                  <c:v>0.64573903817948997</c:v>
                </c:pt>
                <c:pt idx="1">
                  <c:v>0.64573903817948997</c:v>
                </c:pt>
                <c:pt idx="2">
                  <c:v>-1.2519430332051336</c:v>
                </c:pt>
              </c:numCache>
            </c:numRef>
          </c:yVal>
          <c:smooth val="0"/>
        </c:ser>
        <c:ser>
          <c:idx val="37"/>
          <c:order val="37"/>
          <c:tx>
            <c:v>line2</c:v>
          </c:tx>
          <c:spPr>
            <a:ln>
              <a:solidFill>
                <a:schemeClr val="accent1">
                  <a:lumMod val="50000"/>
                </a:schemeClr>
              </a:solidFill>
              <a:prstDash val="sysDash"/>
            </a:ln>
          </c:spPr>
          <c:marker>
            <c:symbol val="none"/>
          </c:marker>
          <c:xVal>
            <c:numRef>
              <c:f>'one point'!$A$52:$A$54</c:f>
              <c:numCache>
                <c:formatCode>General</c:formatCode>
                <c:ptCount val="3"/>
                <c:pt idx="0">
                  <c:v>-36.994364720786479</c:v>
                </c:pt>
                <c:pt idx="1">
                  <c:v>0</c:v>
                </c:pt>
                <c:pt idx="2">
                  <c:v>60</c:v>
                </c:pt>
              </c:numCache>
            </c:numRef>
          </c:xVal>
          <c:yVal>
            <c:numRef>
              <c:f>'one point'!$B$52:$B$54</c:f>
              <c:numCache>
                <c:formatCode>General</c:formatCode>
                <c:ptCount val="3"/>
                <c:pt idx="0">
                  <c:v>0.64573903817948997</c:v>
                </c:pt>
                <c:pt idx="1">
                  <c:v>-0.7954951026910827</c:v>
                </c:pt>
                <c:pt idx="2">
                  <c:v>-0.7954951026910827</c:v>
                </c:pt>
              </c:numCache>
            </c:numRef>
          </c:yVal>
          <c:smooth val="0"/>
        </c:ser>
        <c:ser>
          <c:idx val="38"/>
          <c:order val="38"/>
          <c:tx>
            <c:v>image</c:v>
          </c:tx>
          <c:spPr>
            <a:ln w="381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'one point'!$A$58:$A$59</c:f>
              <c:numCache>
                <c:formatCode>General</c:formatCode>
                <c:ptCount val="2"/>
                <c:pt idx="0">
                  <c:v>45.54582591252607</c:v>
                </c:pt>
                <c:pt idx="1">
                  <c:v>45.54582591252607</c:v>
                </c:pt>
              </c:numCache>
            </c:numRef>
          </c:xVal>
          <c:yVal>
            <c:numRef>
              <c:f>'one point'!$B$58:$B$59</c:f>
              <c:numCache>
                <c:formatCode>General</c:formatCode>
                <c:ptCount val="2"/>
                <c:pt idx="0">
                  <c:v>-0.79500534851243743</c:v>
                </c:pt>
                <c:pt idx="1">
                  <c:v>0</c:v>
                </c:pt>
              </c:numCache>
            </c:numRef>
          </c:yVal>
          <c:smooth val="1"/>
        </c:ser>
        <c:ser>
          <c:idx val="39"/>
          <c:order val="39"/>
          <c:tx>
            <c:v>left focus</c:v>
          </c:tx>
          <c:marker>
            <c:symbol val="circle"/>
            <c:size val="9"/>
            <c:spPr>
              <a:solidFill>
                <a:schemeClr val="accent2">
                  <a:lumMod val="50000"/>
                </a:schemeClr>
              </a:solidFill>
            </c:spPr>
          </c:marker>
          <c:xVal>
            <c:numRef>
              <c:f>'one point'!$B$40:$B$41</c:f>
              <c:numCache>
                <c:formatCode>General</c:formatCode>
                <c:ptCount val="2"/>
                <c:pt idx="0">
                  <c:v>-20.416666666666668</c:v>
                </c:pt>
                <c:pt idx="1">
                  <c:v>-20.416666666666668</c:v>
                </c:pt>
              </c:numCache>
            </c:numRef>
          </c:xVal>
          <c:yVal>
            <c:numRef>
              <c:f>'one point'!$C$40:$C$41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</c:ser>
        <c:ser>
          <c:idx val="40"/>
          <c:order val="40"/>
          <c:tx>
            <c:v>right focus</c:v>
          </c:tx>
          <c:marker>
            <c:symbol val="circle"/>
            <c:size val="9"/>
            <c:spPr>
              <a:solidFill>
                <a:schemeClr val="accent2">
                  <a:lumMod val="50000"/>
                </a:schemeClr>
              </a:solidFill>
            </c:spPr>
          </c:marker>
          <c:xVal>
            <c:numRef>
              <c:f>'one point'!$B$38:$B$39</c:f>
              <c:numCache>
                <c:formatCode>General</c:formatCode>
                <c:ptCount val="2"/>
                <c:pt idx="0">
                  <c:v>20.416666666666668</c:v>
                </c:pt>
                <c:pt idx="1">
                  <c:v>20.416666666666668</c:v>
                </c:pt>
              </c:numCache>
            </c:numRef>
          </c:xVal>
          <c:yVal>
            <c:numRef>
              <c:f>'one point'!$C$38:$C$39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</c:ser>
        <c:ser>
          <c:idx val="41"/>
          <c:order val="41"/>
          <c:tx>
            <c:v>h1</c:v>
          </c:tx>
          <c:spPr>
            <a:ln>
              <a:solidFill>
                <a:schemeClr val="tx2">
                  <a:lumMod val="50000"/>
                </a:schemeClr>
              </a:solidFill>
              <a:prstDash val="dash"/>
            </a:ln>
          </c:spPr>
          <c:marker>
            <c:symbol val="none"/>
          </c:marker>
          <c:xVal>
            <c:numRef>
              <c:f>'one point'!$B$42:$B$43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'one point'!$C$42:$C$43</c:f>
              <c:numCache>
                <c:formatCode>General</c:formatCode>
                <c:ptCount val="2"/>
                <c:pt idx="0">
                  <c:v>20</c:v>
                </c:pt>
                <c:pt idx="1">
                  <c:v>-20</c:v>
                </c:pt>
              </c:numCache>
            </c:numRef>
          </c:yVal>
          <c:smooth val="1"/>
        </c:ser>
        <c:ser>
          <c:idx val="42"/>
          <c:order val="42"/>
          <c:tx>
            <c:v>h2</c:v>
          </c:tx>
          <c:spPr>
            <a:ln>
              <a:solidFill>
                <a:schemeClr val="tx2">
                  <a:lumMod val="50000"/>
                </a:schemeClr>
              </a:solidFill>
              <a:prstDash val="dash"/>
            </a:ln>
          </c:spPr>
          <c:marker>
            <c:symbol val="none"/>
          </c:marker>
          <c:xVal>
            <c:numRef>
              <c:f>'one point'!$B$44:$B$45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'one point'!$C$44:$C$45</c:f>
              <c:numCache>
                <c:formatCode>General</c:formatCode>
                <c:ptCount val="2"/>
                <c:pt idx="0">
                  <c:v>20</c:v>
                </c:pt>
                <c:pt idx="1">
                  <c:v>-20</c:v>
                </c:pt>
              </c:numCache>
            </c:numRef>
          </c:yVal>
          <c:smooth val="1"/>
        </c:ser>
        <c:ser>
          <c:idx val="43"/>
          <c:order val="43"/>
          <c:tx>
            <c:v>VOGEL1</c:v>
          </c:tx>
          <c:spPr>
            <a:ln>
              <a:solidFill>
                <a:srgbClr val="92D050"/>
              </a:solidFill>
              <a:prstDash val="dashDot"/>
            </a:ln>
          </c:spPr>
          <c:marker>
            <c:symbol val="none"/>
          </c:marker>
          <c:xVal>
            <c:numRef>
              <c:f>'one point'!$D$63:$D$65</c:f>
              <c:numCache>
                <c:formatCode>General</c:formatCode>
                <c:ptCount val="3"/>
                <c:pt idx="0">
                  <c:v>-36.994364720786479</c:v>
                </c:pt>
                <c:pt idx="1">
                  <c:v>3.3333333333333335</c:v>
                </c:pt>
                <c:pt idx="2">
                  <c:v>60</c:v>
                </c:pt>
              </c:numCache>
            </c:numRef>
          </c:xVal>
          <c:yVal>
            <c:numRef>
              <c:f>'one point'!$E$63:$E$65</c:f>
              <c:numCache>
                <c:formatCode>General</c:formatCode>
                <c:ptCount val="3"/>
                <c:pt idx="0">
                  <c:v>0.64573903817948997</c:v>
                </c:pt>
                <c:pt idx="1">
                  <c:v>0.64573903817948997</c:v>
                </c:pt>
                <c:pt idx="2">
                  <c:v>-1.4962246006597932</c:v>
                </c:pt>
              </c:numCache>
            </c:numRef>
          </c:yVal>
          <c:smooth val="0"/>
        </c:ser>
        <c:ser>
          <c:idx val="44"/>
          <c:order val="44"/>
          <c:tx>
            <c:v>VOGEL2</c:v>
          </c:tx>
          <c:spPr>
            <a:ln>
              <a:solidFill>
                <a:srgbClr val="00B050"/>
              </a:solidFill>
              <a:prstDash val="dashDot"/>
            </a:ln>
          </c:spPr>
          <c:marker>
            <c:symbol val="none"/>
          </c:marker>
          <c:xVal>
            <c:numRef>
              <c:f>'one point'!$D$69:$D$71</c:f>
              <c:numCache>
                <c:formatCode>General</c:formatCode>
                <c:ptCount val="3"/>
                <c:pt idx="0">
                  <c:v>-36.994364720786479</c:v>
                </c:pt>
                <c:pt idx="1">
                  <c:v>-3.3333333333333335</c:v>
                </c:pt>
                <c:pt idx="2">
                  <c:v>60</c:v>
                </c:pt>
              </c:numCache>
            </c:numRef>
          </c:xVal>
          <c:yVal>
            <c:numRef>
              <c:f>'one point'!$E$69:$E$71</c:f>
              <c:numCache>
                <c:formatCode>General</c:formatCode>
                <c:ptCount val="3"/>
                <c:pt idx="0">
                  <c:v>0.64573903817948997</c:v>
                </c:pt>
                <c:pt idx="1">
                  <c:v>-0.66543468215871038</c:v>
                </c:pt>
                <c:pt idx="2">
                  <c:v>-0.66543468215871038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453440"/>
        <c:axId val="129463424"/>
      </c:scatterChart>
      <c:valAx>
        <c:axId val="129453440"/>
        <c:scaling>
          <c:orientation val="minMax"/>
          <c:max val="50"/>
          <c:min val="-4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29463424"/>
        <c:crosses val="autoZero"/>
        <c:crossBetween val="midCat"/>
      </c:valAx>
      <c:valAx>
        <c:axId val="129463424"/>
        <c:scaling>
          <c:orientation val="minMax"/>
          <c:max val="20"/>
          <c:min val="-20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29453440"/>
        <c:crosses val="autoZero"/>
        <c:crossBetween val="midCat"/>
        <c:majorUnit val="5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l-GR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000000000000003E-2"/>
          <c:y val="4.6770924467774859E-2"/>
          <c:w val="0.90469541576279611"/>
          <c:h val="0.72232670953101874"/>
        </c:manualLayout>
      </c:layout>
      <c:scatterChart>
        <c:scatterStyle val="lineMarker"/>
        <c:varyColors val="0"/>
        <c:ser>
          <c:idx val="20"/>
          <c:order val="0"/>
          <c:tx>
            <c:v>al farisi</c:v>
          </c:tx>
          <c:spPr>
            <a:ln w="34925"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xVal>
            <c:numRef>
              <c:f>RAINBOW!$A$13:$A$17</c:f>
              <c:numCache>
                <c:formatCode>General</c:formatCode>
                <c:ptCount val="5"/>
                <c:pt idx="0">
                  <c:v>-200</c:v>
                </c:pt>
                <c:pt idx="1">
                  <c:v>-25.313040117694293</c:v>
                </c:pt>
                <c:pt idx="2">
                  <c:v>46.597802326444622</c:v>
                </c:pt>
                <c:pt idx="3">
                  <c:v>10.482036267963716</c:v>
                </c:pt>
                <c:pt idx="4">
                  <c:v>-200</c:v>
                </c:pt>
              </c:numCache>
            </c:numRef>
          </c:xVal>
          <c:yVal>
            <c:numRef>
              <c:f>RAINBOW!$B$13:$B$17</c:f>
              <c:numCache>
                <c:formatCode>General</c:formatCode>
                <c:ptCount val="5"/>
                <c:pt idx="0">
                  <c:v>43.119021324700768</c:v>
                </c:pt>
                <c:pt idx="1">
                  <c:v>43.119021324700768</c:v>
                </c:pt>
                <c:pt idx="2">
                  <c:v>18.128563604036373</c:v>
                </c:pt>
                <c:pt idx="3">
                  <c:v>-48.888924263856467</c:v>
                </c:pt>
                <c:pt idx="4">
                  <c:v>-241.87091552725181</c:v>
                </c:pt>
              </c:numCache>
            </c:numRef>
          </c:yVal>
          <c:smooth val="0"/>
        </c:ser>
        <c:ser>
          <c:idx val="0"/>
          <c:order val="1"/>
          <c:tx>
            <c:v>circle</c:v>
          </c:tx>
          <c:marker>
            <c:symbol val="none"/>
          </c:marker>
          <c:xVal>
            <c:numRef>
              <c:f>RAINBOW!$BI$56:$BI$128</c:f>
              <c:numCache>
                <c:formatCode>General</c:formatCode>
                <c:ptCount val="73"/>
                <c:pt idx="0">
                  <c:v>50</c:v>
                </c:pt>
                <c:pt idx="1">
                  <c:v>49.80973490458728</c:v>
                </c:pt>
                <c:pt idx="2">
                  <c:v>49.240387650610401</c:v>
                </c:pt>
                <c:pt idx="3">
                  <c:v>48.296291314453413</c:v>
                </c:pt>
                <c:pt idx="4">
                  <c:v>46.984631039295422</c:v>
                </c:pt>
                <c:pt idx="5">
                  <c:v>45.315389351832494</c:v>
                </c:pt>
                <c:pt idx="6">
                  <c:v>43.301270189221938</c:v>
                </c:pt>
                <c:pt idx="7">
                  <c:v>40.957602214449587</c:v>
                </c:pt>
                <c:pt idx="8">
                  <c:v>38.302222155948904</c:v>
                </c:pt>
                <c:pt idx="9">
                  <c:v>35.355339059327378</c:v>
                </c:pt>
                <c:pt idx="10">
                  <c:v>32.139380484326971</c:v>
                </c:pt>
                <c:pt idx="11">
                  <c:v>28.678821817552308</c:v>
                </c:pt>
                <c:pt idx="12">
                  <c:v>25.000000000000007</c:v>
                </c:pt>
                <c:pt idx="13">
                  <c:v>21.130913087034973</c:v>
                </c:pt>
                <c:pt idx="14">
                  <c:v>17.101007166283441</c:v>
                </c:pt>
                <c:pt idx="15">
                  <c:v>12.940952255126037</c:v>
                </c:pt>
                <c:pt idx="16">
                  <c:v>8.6824088833465201</c:v>
                </c:pt>
                <c:pt idx="17">
                  <c:v>4.3577871373829069</c:v>
                </c:pt>
                <c:pt idx="18">
                  <c:v>3.06287113727155E-15</c:v>
                </c:pt>
                <c:pt idx="19">
                  <c:v>-4.3577871373829113</c:v>
                </c:pt>
                <c:pt idx="20">
                  <c:v>-8.6824088833465147</c:v>
                </c:pt>
                <c:pt idx="21">
                  <c:v>-12.940952255126042</c:v>
                </c:pt>
                <c:pt idx="22">
                  <c:v>-17.101007166283434</c:v>
                </c:pt>
                <c:pt idx="23">
                  <c:v>-21.130913087034966</c:v>
                </c:pt>
                <c:pt idx="24">
                  <c:v>-24.999999999999989</c:v>
                </c:pt>
                <c:pt idx="25">
                  <c:v>-28.678821817552308</c:v>
                </c:pt>
                <c:pt idx="26">
                  <c:v>-32.139380484326971</c:v>
                </c:pt>
                <c:pt idx="27">
                  <c:v>-35.35533905932737</c:v>
                </c:pt>
                <c:pt idx="28">
                  <c:v>-38.302222155948897</c:v>
                </c:pt>
                <c:pt idx="29">
                  <c:v>-40.957602214449594</c:v>
                </c:pt>
                <c:pt idx="30">
                  <c:v>-43.301270189221938</c:v>
                </c:pt>
                <c:pt idx="31">
                  <c:v>-45.315389351832494</c:v>
                </c:pt>
                <c:pt idx="32">
                  <c:v>-46.984631039295415</c:v>
                </c:pt>
                <c:pt idx="33">
                  <c:v>-48.296291314453413</c:v>
                </c:pt>
                <c:pt idx="34">
                  <c:v>-49.240387650610401</c:v>
                </c:pt>
                <c:pt idx="35">
                  <c:v>-49.80973490458728</c:v>
                </c:pt>
                <c:pt idx="36">
                  <c:v>-50</c:v>
                </c:pt>
                <c:pt idx="37">
                  <c:v>-49.80973490458728</c:v>
                </c:pt>
                <c:pt idx="38">
                  <c:v>-49.240387650610401</c:v>
                </c:pt>
                <c:pt idx="39">
                  <c:v>-48.296291314453413</c:v>
                </c:pt>
                <c:pt idx="40">
                  <c:v>-46.984631039295422</c:v>
                </c:pt>
                <c:pt idx="41">
                  <c:v>-45.315389351832501</c:v>
                </c:pt>
                <c:pt idx="42">
                  <c:v>-43.301270189221931</c:v>
                </c:pt>
                <c:pt idx="43">
                  <c:v>-40.957602214449587</c:v>
                </c:pt>
                <c:pt idx="44">
                  <c:v>-38.302222155948904</c:v>
                </c:pt>
                <c:pt idx="45">
                  <c:v>-35.355339059327385</c:v>
                </c:pt>
                <c:pt idx="46">
                  <c:v>-32.139380484326971</c:v>
                </c:pt>
                <c:pt idx="47">
                  <c:v>-28.678821817552318</c:v>
                </c:pt>
                <c:pt idx="48">
                  <c:v>-25.000000000000021</c:v>
                </c:pt>
                <c:pt idx="49">
                  <c:v>-21.130913087034958</c:v>
                </c:pt>
                <c:pt idx="50">
                  <c:v>-17.101007166283427</c:v>
                </c:pt>
                <c:pt idx="51">
                  <c:v>-12.940952255126032</c:v>
                </c:pt>
                <c:pt idx="52">
                  <c:v>-8.6824088833465165</c:v>
                </c:pt>
                <c:pt idx="53">
                  <c:v>-4.3577871373829122</c:v>
                </c:pt>
                <c:pt idx="54">
                  <c:v>-9.1886134118146501E-15</c:v>
                </c:pt>
                <c:pt idx="55">
                  <c:v>4.3577871373828945</c:v>
                </c:pt>
                <c:pt idx="56">
                  <c:v>8.6824088833464987</c:v>
                </c:pt>
                <c:pt idx="57">
                  <c:v>12.940952255126014</c:v>
                </c:pt>
                <c:pt idx="58">
                  <c:v>17.101007166283448</c:v>
                </c:pt>
                <c:pt idx="59">
                  <c:v>21.13091308703498</c:v>
                </c:pt>
                <c:pt idx="60">
                  <c:v>25.000000000000007</c:v>
                </c:pt>
                <c:pt idx="61">
                  <c:v>28.678821817552304</c:v>
                </c:pt>
                <c:pt idx="62">
                  <c:v>32.139380484326963</c:v>
                </c:pt>
                <c:pt idx="63">
                  <c:v>35.35533905932737</c:v>
                </c:pt>
                <c:pt idx="64">
                  <c:v>38.30222215594889</c:v>
                </c:pt>
                <c:pt idx="65">
                  <c:v>40.957602214449579</c:v>
                </c:pt>
                <c:pt idx="66">
                  <c:v>43.301270189221917</c:v>
                </c:pt>
                <c:pt idx="67">
                  <c:v>45.315389351832501</c:v>
                </c:pt>
                <c:pt idx="68">
                  <c:v>46.984631039295422</c:v>
                </c:pt>
                <c:pt idx="69">
                  <c:v>48.296291314453413</c:v>
                </c:pt>
                <c:pt idx="70">
                  <c:v>49.240387650610401</c:v>
                </c:pt>
                <c:pt idx="71">
                  <c:v>49.80973490458728</c:v>
                </c:pt>
                <c:pt idx="72">
                  <c:v>50</c:v>
                </c:pt>
              </c:numCache>
            </c:numRef>
          </c:xVal>
          <c:yVal>
            <c:numRef>
              <c:f>RAINBOW!$BJ$56:$BJ$128</c:f>
              <c:numCache>
                <c:formatCode>General</c:formatCode>
                <c:ptCount val="73"/>
                <c:pt idx="0">
                  <c:v>0</c:v>
                </c:pt>
                <c:pt idx="1">
                  <c:v>4.3577871373829087</c:v>
                </c:pt>
                <c:pt idx="2">
                  <c:v>8.6824088833465165</c:v>
                </c:pt>
                <c:pt idx="3">
                  <c:v>12.940952255126037</c:v>
                </c:pt>
                <c:pt idx="4">
                  <c:v>17.101007166283434</c:v>
                </c:pt>
                <c:pt idx="5">
                  <c:v>21.130913087034973</c:v>
                </c:pt>
                <c:pt idx="6">
                  <c:v>24.999999999999996</c:v>
                </c:pt>
                <c:pt idx="7">
                  <c:v>28.678821817552304</c:v>
                </c:pt>
                <c:pt idx="8">
                  <c:v>32.139380484326963</c:v>
                </c:pt>
                <c:pt idx="9">
                  <c:v>35.35533905932737</c:v>
                </c:pt>
                <c:pt idx="10">
                  <c:v>38.302222155948904</c:v>
                </c:pt>
                <c:pt idx="11">
                  <c:v>40.957602214449587</c:v>
                </c:pt>
                <c:pt idx="12">
                  <c:v>43.301270189221931</c:v>
                </c:pt>
                <c:pt idx="13">
                  <c:v>45.315389351832494</c:v>
                </c:pt>
                <c:pt idx="14">
                  <c:v>46.984631039295415</c:v>
                </c:pt>
                <c:pt idx="15">
                  <c:v>48.296291314453413</c:v>
                </c:pt>
                <c:pt idx="16">
                  <c:v>49.240387650610401</c:v>
                </c:pt>
                <c:pt idx="17">
                  <c:v>49.80973490458728</c:v>
                </c:pt>
                <c:pt idx="18">
                  <c:v>50</c:v>
                </c:pt>
                <c:pt idx="19">
                  <c:v>49.80973490458728</c:v>
                </c:pt>
                <c:pt idx="20">
                  <c:v>49.240387650610401</c:v>
                </c:pt>
                <c:pt idx="21">
                  <c:v>48.296291314453413</c:v>
                </c:pt>
                <c:pt idx="22">
                  <c:v>46.984631039295422</c:v>
                </c:pt>
                <c:pt idx="23">
                  <c:v>45.315389351832501</c:v>
                </c:pt>
                <c:pt idx="24">
                  <c:v>43.301270189221938</c:v>
                </c:pt>
                <c:pt idx="25">
                  <c:v>40.957602214449587</c:v>
                </c:pt>
                <c:pt idx="26">
                  <c:v>38.302222155948904</c:v>
                </c:pt>
                <c:pt idx="27">
                  <c:v>35.355339059327378</c:v>
                </c:pt>
                <c:pt idx="28">
                  <c:v>32.139380484326971</c:v>
                </c:pt>
                <c:pt idx="29">
                  <c:v>28.678821817552297</c:v>
                </c:pt>
                <c:pt idx="30">
                  <c:v>24.999999999999996</c:v>
                </c:pt>
                <c:pt idx="31">
                  <c:v>21.130913087034976</c:v>
                </c:pt>
                <c:pt idx="32">
                  <c:v>17.101007166283445</c:v>
                </c:pt>
                <c:pt idx="33">
                  <c:v>12.940952255126051</c:v>
                </c:pt>
                <c:pt idx="34">
                  <c:v>8.682408883346513</c:v>
                </c:pt>
                <c:pt idx="35">
                  <c:v>4.3577871373829096</c:v>
                </c:pt>
                <c:pt idx="36">
                  <c:v>6.1257422745431001E-15</c:v>
                </c:pt>
                <c:pt idx="37">
                  <c:v>-4.3577871373828971</c:v>
                </c:pt>
                <c:pt idx="38">
                  <c:v>-8.6824088833465236</c:v>
                </c:pt>
                <c:pt idx="39">
                  <c:v>-12.940952255126041</c:v>
                </c:pt>
                <c:pt idx="40">
                  <c:v>-17.101007166283434</c:v>
                </c:pt>
                <c:pt idx="41">
                  <c:v>-21.130913087034962</c:v>
                </c:pt>
                <c:pt idx="42">
                  <c:v>-25.000000000000007</c:v>
                </c:pt>
                <c:pt idx="43">
                  <c:v>-28.678821817552308</c:v>
                </c:pt>
                <c:pt idx="44">
                  <c:v>-32.139380484326963</c:v>
                </c:pt>
                <c:pt idx="45">
                  <c:v>-35.35533905932737</c:v>
                </c:pt>
                <c:pt idx="46">
                  <c:v>-38.302222155948897</c:v>
                </c:pt>
                <c:pt idx="47">
                  <c:v>-40.957602214449579</c:v>
                </c:pt>
                <c:pt idx="48">
                  <c:v>-43.301270189221917</c:v>
                </c:pt>
                <c:pt idx="49">
                  <c:v>-45.315389351832501</c:v>
                </c:pt>
                <c:pt idx="50">
                  <c:v>-46.984631039295422</c:v>
                </c:pt>
                <c:pt idx="51">
                  <c:v>-48.296291314453413</c:v>
                </c:pt>
                <c:pt idx="52">
                  <c:v>-49.240387650610401</c:v>
                </c:pt>
                <c:pt idx="53">
                  <c:v>-49.80973490458728</c:v>
                </c:pt>
                <c:pt idx="54">
                  <c:v>-50</c:v>
                </c:pt>
                <c:pt idx="55">
                  <c:v>-49.80973490458728</c:v>
                </c:pt>
                <c:pt idx="56">
                  <c:v>-49.240387650610408</c:v>
                </c:pt>
                <c:pt idx="57">
                  <c:v>-48.29629131445342</c:v>
                </c:pt>
                <c:pt idx="58">
                  <c:v>-46.984631039295415</c:v>
                </c:pt>
                <c:pt idx="59">
                  <c:v>-45.315389351832494</c:v>
                </c:pt>
                <c:pt idx="60">
                  <c:v>-43.301270189221931</c:v>
                </c:pt>
                <c:pt idx="61">
                  <c:v>-40.957602214449587</c:v>
                </c:pt>
                <c:pt idx="62">
                  <c:v>-38.302222155948904</c:v>
                </c:pt>
                <c:pt idx="63">
                  <c:v>-35.355339059327385</c:v>
                </c:pt>
                <c:pt idx="64">
                  <c:v>-32.139380484326978</c:v>
                </c:pt>
                <c:pt idx="65">
                  <c:v>-28.678821817552326</c:v>
                </c:pt>
                <c:pt idx="66">
                  <c:v>-25.000000000000021</c:v>
                </c:pt>
                <c:pt idx="67">
                  <c:v>-21.130913087034962</c:v>
                </c:pt>
                <c:pt idx="68">
                  <c:v>-17.101007166283431</c:v>
                </c:pt>
                <c:pt idx="69">
                  <c:v>-12.940952255126033</c:v>
                </c:pt>
                <c:pt idx="70">
                  <c:v>-8.6824088833465201</c:v>
                </c:pt>
                <c:pt idx="71">
                  <c:v>-4.3577871373829158</c:v>
                </c:pt>
                <c:pt idx="72">
                  <c:v>-1.22514845490862E-14</c:v>
                </c:pt>
              </c:numCache>
            </c:numRef>
          </c:yVal>
          <c:smooth val="0"/>
        </c:ser>
        <c:ser>
          <c:idx val="1"/>
          <c:order val="2"/>
          <c:tx>
            <c:v>r1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RAINBOW!$AX$7:$AX$11</c:f>
              <c:numCache>
                <c:formatCode>General</c:formatCode>
                <c:ptCount val="5"/>
                <c:pt idx="0">
                  <c:v>-200</c:v>
                </c:pt>
                <c:pt idx="1">
                  <c:v>-21.918557339453873</c:v>
                </c:pt>
                <c:pt idx="2">
                  <c:v>46.669545534230252</c:v>
                </c:pt>
                <c:pt idx="3">
                  <c:v>13.832659544341141</c:v>
                </c:pt>
                <c:pt idx="4">
                  <c:v>-200</c:v>
                </c:pt>
              </c:numCache>
            </c:numRef>
          </c:xVal>
          <c:yVal>
            <c:numRef>
              <c:f>RAINBOW!$AY$7:$AY$11</c:f>
              <c:numCache>
                <c:formatCode>General</c:formatCode>
                <c:ptCount val="5"/>
                <c:pt idx="0">
                  <c:v>44.939702314958353</c:v>
                </c:pt>
                <c:pt idx="1">
                  <c:v>44.939702314958353</c:v>
                </c:pt>
                <c:pt idx="2">
                  <c:v>17.943063273265484</c:v>
                </c:pt>
                <c:pt idx="3">
                  <c:v>-48.048491442815852</c:v>
                </c:pt>
                <c:pt idx="4">
                  <c:v>-240.99390958866013</c:v>
                </c:pt>
              </c:numCache>
            </c:numRef>
          </c:yVal>
          <c:smooth val="0"/>
        </c:ser>
        <c:ser>
          <c:idx val="2"/>
          <c:order val="3"/>
          <c:tx>
            <c:v>r2</c:v>
          </c:tx>
          <c:marker>
            <c:symbol val="none"/>
          </c:marker>
          <c:xVal>
            <c:numRef>
              <c:f>RAINBOW!$AZ$7:$AZ$11</c:f>
              <c:numCache>
                <c:formatCode>General</c:formatCode>
                <c:ptCount val="5"/>
                <c:pt idx="0">
                  <c:v>-200</c:v>
                </c:pt>
                <c:pt idx="1">
                  <c:v>-22.699524986977341</c:v>
                </c:pt>
                <c:pt idx="2">
                  <c:v>46.640358955294325</c:v>
                </c:pt>
                <c:pt idx="3">
                  <c:v>13.148666436266005</c:v>
                </c:pt>
                <c:pt idx="4">
                  <c:v>-200</c:v>
                </c:pt>
              </c:numCache>
            </c:numRef>
          </c:xVal>
          <c:yVal>
            <c:numRef>
              <c:f>RAINBOW!$BA$7:$BA$11</c:f>
              <c:numCache>
                <c:formatCode>General</c:formatCode>
                <c:ptCount val="5"/>
                <c:pt idx="0">
                  <c:v>44.550326209418387</c:v>
                </c:pt>
                <c:pt idx="1">
                  <c:v>44.550326209418387</c:v>
                </c:pt>
                <c:pt idx="2">
                  <c:v>18.018793425790104</c:v>
                </c:pt>
                <c:pt idx="3">
                  <c:v>-48.240155171265897</c:v>
                </c:pt>
                <c:pt idx="4">
                  <c:v>-241.82743348902164</c:v>
                </c:pt>
              </c:numCache>
            </c:numRef>
          </c:yVal>
          <c:smooth val="0"/>
        </c:ser>
        <c:ser>
          <c:idx val="3"/>
          <c:order val="4"/>
          <c:tx>
            <c:v>r3</c:v>
          </c:tx>
          <c:marker>
            <c:symbol val="none"/>
          </c:marker>
          <c:xVal>
            <c:numRef>
              <c:f>RAINBOW!$BB$7:$BB$11</c:f>
              <c:numCache>
                <c:formatCode>General</c:formatCode>
                <c:ptCount val="5"/>
                <c:pt idx="0">
                  <c:v>-200</c:v>
                </c:pt>
                <c:pt idx="1">
                  <c:v>-23.473578139294542</c:v>
                </c:pt>
                <c:pt idx="2">
                  <c:v>46.618889895399406</c:v>
                </c:pt>
                <c:pt idx="3">
                  <c:v>12.420028426613037</c:v>
                </c:pt>
                <c:pt idx="4">
                  <c:v>-200</c:v>
                </c:pt>
              </c:numCache>
            </c:numRef>
          </c:xVal>
          <c:yVal>
            <c:numRef>
              <c:f>RAINBOW!$BC$7:$BC$11</c:f>
              <c:numCache>
                <c:formatCode>General</c:formatCode>
                <c:ptCount val="5"/>
                <c:pt idx="0">
                  <c:v>44.147379642946341</c:v>
                </c:pt>
                <c:pt idx="1">
                  <c:v>44.147379642946341</c:v>
                </c:pt>
                <c:pt idx="2">
                  <c:v>18.074266372957638</c:v>
                </c:pt>
                <c:pt idx="3">
                  <c:v>-48.4328699736256</c:v>
                </c:pt>
                <c:pt idx="4">
                  <c:v>-242.28269125292425</c:v>
                </c:pt>
              </c:numCache>
            </c:numRef>
          </c:yVal>
          <c:smooth val="0"/>
        </c:ser>
        <c:ser>
          <c:idx val="4"/>
          <c:order val="5"/>
          <c:tx>
            <c:v>r4</c:v>
          </c:tx>
          <c:marker>
            <c:symbol val="none"/>
          </c:marker>
          <c:xVal>
            <c:numRef>
              <c:f>RAINBOW!$BD$7:$BD$11</c:f>
              <c:numCache>
                <c:formatCode>General</c:formatCode>
                <c:ptCount val="5"/>
                <c:pt idx="0">
                  <c:v>-200</c:v>
                </c:pt>
                <c:pt idx="1">
                  <c:v>-24.240481012316856</c:v>
                </c:pt>
                <c:pt idx="2">
                  <c:v>46.604971533224152</c:v>
                </c:pt>
                <c:pt idx="3">
                  <c:v>11.647694096832154</c:v>
                </c:pt>
                <c:pt idx="4">
                  <c:v>-200</c:v>
                </c:pt>
              </c:numCache>
            </c:numRef>
          </c:xVal>
          <c:yVal>
            <c:numRef>
              <c:f>RAINBOW!$BE$7:$BE$11</c:f>
              <c:numCache>
                <c:formatCode>General</c:formatCode>
                <c:ptCount val="5"/>
                <c:pt idx="0">
                  <c:v>43.730985356969789</c:v>
                </c:pt>
                <c:pt idx="1">
                  <c:v>43.730985356969789</c:v>
                </c:pt>
                <c:pt idx="2">
                  <c:v>18.110125024067798</c:v>
                </c:pt>
                <c:pt idx="3">
                  <c:v>-48.624389170730169</c:v>
                </c:pt>
                <c:pt idx="4">
                  <c:v>-242.3670709640744</c:v>
                </c:pt>
              </c:numCache>
            </c:numRef>
          </c:yVal>
          <c:smooth val="0"/>
        </c:ser>
        <c:ser>
          <c:idx val="5"/>
          <c:order val="6"/>
          <c:tx>
            <c:v>r5</c:v>
          </c:tx>
          <c:marker>
            <c:symbol val="none"/>
          </c:marker>
          <c:xVal>
            <c:numRef>
              <c:f>RAINBOW!$BF$7:$BF$11</c:f>
              <c:numCache>
                <c:formatCode>General</c:formatCode>
                <c:ptCount val="5"/>
                <c:pt idx="0">
                  <c:v>-200</c:v>
                </c:pt>
                <c:pt idx="1">
                  <c:v>-25.000000000000007</c:v>
                </c:pt>
                <c:pt idx="2">
                  <c:v>46.598412818064858</c:v>
                </c:pt>
                <c:pt idx="3">
                  <c:v>10.832649435493634</c:v>
                </c:pt>
                <c:pt idx="4">
                  <c:v>-200</c:v>
                </c:pt>
              </c:numCache>
            </c:numRef>
          </c:xVal>
          <c:yVal>
            <c:numRef>
              <c:f>RAINBOW!$BG$7:$BG$11</c:f>
              <c:numCache>
                <c:formatCode>General</c:formatCode>
                <c:ptCount val="5"/>
                <c:pt idx="0">
                  <c:v>43.301270189221931</c:v>
                </c:pt>
                <c:pt idx="1">
                  <c:v>43.301270189221931</c:v>
                </c:pt>
                <c:pt idx="2">
                  <c:v>18.126994313377192</c:v>
                </c:pt>
                <c:pt idx="3">
                  <c:v>-48.812433930379868</c:v>
                </c:pt>
                <c:pt idx="4">
                  <c:v>-242.08975126143298</c:v>
                </c:pt>
              </c:numCache>
            </c:numRef>
          </c:yVal>
          <c:smooth val="0"/>
        </c:ser>
        <c:ser>
          <c:idx val="6"/>
          <c:order val="7"/>
          <c:tx>
            <c:v>r6</c:v>
          </c:tx>
          <c:marker>
            <c:symbol val="none"/>
          </c:marker>
          <c:xVal>
            <c:numRef>
              <c:f>RAINBOW!$BH$7:$BH$11</c:f>
              <c:numCache>
                <c:formatCode>General</c:formatCode>
                <c:ptCount val="5"/>
                <c:pt idx="0">
                  <c:v>-200</c:v>
                </c:pt>
                <c:pt idx="1">
                  <c:v>-25.751903745502709</c:v>
                </c:pt>
                <c:pt idx="2">
                  <c:v>46.599001460962697</c:v>
                </c:pt>
                <c:pt idx="3">
                  <c:v>9.9759229854890847</c:v>
                </c:pt>
                <c:pt idx="4">
                  <c:v>-200</c:v>
                </c:pt>
              </c:numCache>
            </c:numRef>
          </c:xVal>
          <c:yVal>
            <c:numRef>
              <c:f>RAINBOW!$BI$7:$BI$11</c:f>
              <c:numCache>
                <c:formatCode>General</c:formatCode>
                <c:ptCount val="5"/>
                <c:pt idx="0">
                  <c:v>42.858365035105614</c:v>
                </c:pt>
                <c:pt idx="1">
                  <c:v>42.858365035105614</c:v>
                </c:pt>
                <c:pt idx="2">
                  <c:v>18.125481037511705</c:v>
                </c:pt>
                <c:pt idx="3">
                  <c:v>-48.994703393199458</c:v>
                </c:pt>
                <c:pt idx="4">
                  <c:v>-241.46153355154939</c:v>
                </c:pt>
              </c:numCache>
            </c:numRef>
          </c:yVal>
          <c:smooth val="0"/>
        </c:ser>
        <c:ser>
          <c:idx val="7"/>
          <c:order val="8"/>
          <c:tx>
            <c:v>r7</c:v>
          </c:tx>
          <c:marker>
            <c:symbol val="none"/>
          </c:marker>
          <c:xVal>
            <c:numRef>
              <c:f>RAINBOW!$BJ$7:$BJ$11</c:f>
              <c:numCache>
                <c:formatCode>General</c:formatCode>
                <c:ptCount val="5"/>
                <c:pt idx="0">
                  <c:v>-200</c:v>
                </c:pt>
                <c:pt idx="1">
                  <c:v>-26.495963211660246</c:v>
                </c:pt>
                <c:pt idx="2">
                  <c:v>46.606506724175546</c:v>
                </c:pt>
                <c:pt idx="3">
                  <c:v>9.0785905849330071</c:v>
                </c:pt>
                <c:pt idx="4">
                  <c:v>-200</c:v>
                </c:pt>
              </c:numCache>
            </c:numRef>
          </c:xVal>
          <c:yVal>
            <c:numRef>
              <c:f>RAINBOW!$BK$7:$BK$11</c:f>
              <c:numCache>
                <c:formatCode>General</c:formatCode>
                <c:ptCount val="5"/>
                <c:pt idx="0">
                  <c:v>42.402404807821299</c:v>
                </c:pt>
                <c:pt idx="1">
                  <c:v>42.402404807821299</c:v>
                </c:pt>
                <c:pt idx="2">
                  <c:v>18.106173835721879</c:v>
                </c:pt>
                <c:pt idx="3">
                  <c:v>-49.16888439848077</c:v>
                </c:pt>
                <c:pt idx="4">
                  <c:v>-240.49465685695543</c:v>
                </c:pt>
              </c:numCache>
            </c:numRef>
          </c:yVal>
          <c:smooth val="0"/>
        </c:ser>
        <c:ser>
          <c:idx val="9"/>
          <c:order val="9"/>
          <c:tx>
            <c:v>r8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RAINBOW!$BL$7:$BL$11</c:f>
              <c:numCache>
                <c:formatCode>General</c:formatCode>
                <c:ptCount val="5"/>
                <c:pt idx="0">
                  <c:v>-200</c:v>
                </c:pt>
                <c:pt idx="1">
                  <c:v>-27.231951750751353</c:v>
                </c:pt>
                <c:pt idx="2">
                  <c:v>46.620682011668052</c:v>
                </c:pt>
                <c:pt idx="3">
                  <c:v>8.1417796670367757</c:v>
                </c:pt>
                <c:pt idx="4">
                  <c:v>-200</c:v>
                </c:pt>
              </c:numCache>
            </c:numRef>
          </c:xVal>
          <c:yVal>
            <c:numRef>
              <c:f>RAINBOW!$BM$7:$BM$11</c:f>
              <c:numCache>
                <c:formatCode>General</c:formatCode>
                <c:ptCount val="5"/>
                <c:pt idx="0">
                  <c:v>41.933528397271203</c:v>
                </c:pt>
                <c:pt idx="1">
                  <c:v>41.933528397271203</c:v>
                </c:pt>
                <c:pt idx="2">
                  <c:v>18.069643293848685</c:v>
                </c:pt>
                <c:pt idx="3">
                  <c:v>-49.332660822759465</c:v>
                </c:pt>
                <c:pt idx="4">
                  <c:v>-239.20260079938186</c:v>
                </c:pt>
              </c:numCache>
            </c:numRef>
          </c:yVal>
          <c:smooth val="0"/>
        </c:ser>
        <c:ser>
          <c:idx val="8"/>
          <c:order val="10"/>
          <c:tx>
            <c:v>r9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RAINBOW!$BN$7:$BN$11</c:f>
              <c:numCache>
                <c:formatCode>General</c:formatCode>
                <c:ptCount val="5"/>
                <c:pt idx="0">
                  <c:v>-200</c:v>
                </c:pt>
                <c:pt idx="1">
                  <c:v>-27.959645173537339</c:v>
                </c:pt>
                <c:pt idx="2">
                  <c:v>46.641267265175948</c:v>
                </c:pt>
                <c:pt idx="3">
                  <c:v>7.1666730921476187</c:v>
                </c:pt>
                <c:pt idx="4">
                  <c:v>-200</c:v>
                </c:pt>
              </c:numCache>
            </c:numRef>
          </c:xVal>
          <c:yVal>
            <c:numRef>
              <c:f>RAINBOW!$BO$7:$BO$11</c:f>
              <c:numCache>
                <c:formatCode>General</c:formatCode>
                <c:ptCount val="5"/>
                <c:pt idx="0">
                  <c:v>41.451878627752087</c:v>
                </c:pt>
                <c:pt idx="1">
                  <c:v>41.451878627752087</c:v>
                </c:pt>
                <c:pt idx="2">
                  <c:v>18.016442154277481</c:v>
                </c:pt>
                <c:pt idx="3">
                  <c:v>-49.483722543784914</c:v>
                </c:pt>
                <c:pt idx="4">
                  <c:v>-237.59988206972685</c:v>
                </c:pt>
              </c:numCache>
            </c:numRef>
          </c:yVal>
          <c:smooth val="0"/>
        </c:ser>
        <c:ser>
          <c:idx val="10"/>
          <c:order val="11"/>
          <c:tx>
            <c:v>r10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RAINBOW!$BP$7:$BP$11</c:f>
              <c:numCache>
                <c:formatCode>General</c:formatCode>
                <c:ptCount val="5"/>
                <c:pt idx="0">
                  <c:v>-200</c:v>
                </c:pt>
                <c:pt idx="1">
                  <c:v>-28.678821817552308</c:v>
                </c:pt>
                <c:pt idx="2">
                  <c:v>46.667991171920356</c:v>
                </c:pt>
                <c:pt idx="3">
                  <c:v>6.1545124922673198</c:v>
                </c:pt>
                <c:pt idx="4">
                  <c:v>-200</c:v>
                </c:pt>
              </c:numCache>
            </c:numRef>
          </c:xVal>
          <c:yVal>
            <c:numRef>
              <c:f>RAINBOW!$BQ$7:$BQ$11</c:f>
              <c:numCache>
                <c:formatCode>General</c:formatCode>
                <c:ptCount val="5"/>
                <c:pt idx="0">
                  <c:v>40.957602214449587</c:v>
                </c:pt>
                <c:pt idx="1">
                  <c:v>40.957602214449587</c:v>
                </c:pt>
                <c:pt idx="2">
                  <c:v>17.947105615601757</c:v>
                </c:pt>
                <c:pt idx="3">
                  <c:v>-49.619774042034145</c:v>
                </c:pt>
                <c:pt idx="4">
                  <c:v>-235.70184940863203</c:v>
                </c:pt>
              </c:numCache>
            </c:numRef>
          </c:yVal>
          <c:smooth val="0"/>
        </c:ser>
        <c:ser>
          <c:idx val="11"/>
          <c:order val="12"/>
          <c:tx>
            <c:v>r11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RAINBOW!$BR$7:$BR$11</c:f>
              <c:numCache>
                <c:formatCode>General</c:formatCode>
                <c:ptCount val="5"/>
                <c:pt idx="0">
                  <c:v>-200</c:v>
                </c:pt>
                <c:pt idx="1">
                  <c:v>-29.389262614623657</c:v>
                </c:pt>
                <c:pt idx="2">
                  <c:v>46.700573191240707</c:v>
                </c:pt>
                <c:pt idx="3">
                  <c:v>5.1066011147078765</c:v>
                </c:pt>
                <c:pt idx="4">
                  <c:v>-200</c:v>
                </c:pt>
              </c:numCache>
            </c:numRef>
          </c:xVal>
          <c:yVal>
            <c:numRef>
              <c:f>RAINBOW!$BS$7:$BS$11</c:f>
              <c:numCache>
                <c:formatCode>General</c:formatCode>
                <c:ptCount val="5"/>
                <c:pt idx="0">
                  <c:v>40.450849718747371</c:v>
                </c:pt>
                <c:pt idx="1">
                  <c:v>40.450849718747371</c:v>
                </c:pt>
                <c:pt idx="2">
                  <c:v>17.862151707159178</c:v>
                </c:pt>
                <c:pt idx="3">
                  <c:v>-49.738542651099706</c:v>
                </c:pt>
                <c:pt idx="4">
                  <c:v>-233.52448164794566</c:v>
                </c:pt>
              </c:numCache>
            </c:numRef>
          </c:yVal>
          <c:smooth val="0"/>
        </c:ser>
        <c:ser>
          <c:idx val="12"/>
          <c:order val="13"/>
          <c:tx>
            <c:v>r12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RAINBOW!$BT$7:$BT$11</c:f>
              <c:numCache>
                <c:formatCode>General</c:formatCode>
                <c:ptCount val="5"/>
                <c:pt idx="0">
                  <c:v>-200</c:v>
                </c:pt>
                <c:pt idx="1">
                  <c:v>-30.090751157602419</c:v>
                </c:pt>
                <c:pt idx="2">
                  <c:v>46.738725408313435</c:v>
                </c:pt>
                <c:pt idx="3">
                  <c:v>4.0243061571525116</c:v>
                </c:pt>
                <c:pt idx="4">
                  <c:v>-200</c:v>
                </c:pt>
              </c:numCache>
            </c:numRef>
          </c:xVal>
          <c:yVal>
            <c:numRef>
              <c:f>RAINBOW!$BU$7:$BU$11</c:f>
              <c:numCache>
                <c:formatCode>General</c:formatCode>
                <c:ptCount val="5"/>
                <c:pt idx="0">
                  <c:v>39.931775502364644</c:v>
                </c:pt>
                <c:pt idx="1">
                  <c:v>39.931775502364644</c:v>
                </c:pt>
                <c:pt idx="2">
                  <c:v>17.762081725019623</c:v>
                </c:pt>
                <c:pt idx="3">
                  <c:v>-49.837786467232917</c:v>
                </c:pt>
                <c:pt idx="4">
                  <c:v>-231.0841927833967</c:v>
                </c:pt>
              </c:numCache>
            </c:numRef>
          </c:yVal>
          <c:smooth val="0"/>
        </c:ser>
        <c:ser>
          <c:idx val="13"/>
          <c:order val="14"/>
          <c:tx>
            <c:v>r13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RAINBOW!$BV$7:$BV$11</c:f>
              <c:numCache>
                <c:formatCode>General</c:formatCode>
                <c:ptCount val="5"/>
                <c:pt idx="0">
                  <c:v>-200</c:v>
                </c:pt>
                <c:pt idx="1">
                  <c:v>-30.783073766282914</c:v>
                </c:pt>
                <c:pt idx="2">
                  <c:v>46.782154223764202</c:v>
                </c:pt>
                <c:pt idx="3">
                  <c:v>2.9090605913117273</c:v>
                </c:pt>
                <c:pt idx="4">
                  <c:v>-200</c:v>
                </c:pt>
              </c:numCache>
            </c:numRef>
          </c:xVal>
          <c:yVal>
            <c:numRef>
              <c:f>RAINBOW!$BW$7:$BW$11</c:f>
              <c:numCache>
                <c:formatCode>General</c:formatCode>
                <c:ptCount val="5"/>
                <c:pt idx="0">
                  <c:v>39.4005376803361</c:v>
                </c:pt>
                <c:pt idx="1">
                  <c:v>39.4005376803361</c:v>
                </c:pt>
                <c:pt idx="2">
                  <c:v>17.647380717373931</c:v>
                </c:pt>
                <c:pt idx="3">
                  <c:v>-49.915301927125284</c:v>
                </c:pt>
                <c:pt idx="4">
                  <c:v>-228.39764740174692</c:v>
                </c:pt>
              </c:numCache>
            </c:numRef>
          </c:yVal>
          <c:smooth val="0"/>
        </c:ser>
        <c:ser>
          <c:idx val="14"/>
          <c:order val="15"/>
          <c:tx>
            <c:v>r14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RAINBOW!$BX$7:$BX$11</c:f>
              <c:numCache>
                <c:formatCode>General</c:formatCode>
                <c:ptCount val="5"/>
                <c:pt idx="0">
                  <c:v>-200</c:v>
                </c:pt>
                <c:pt idx="1">
                  <c:v>-31.466019552491876</c:v>
                </c:pt>
                <c:pt idx="2">
                  <c:v>46.83056188839786</c:v>
                </c:pt>
                <c:pt idx="3">
                  <c:v>1.7623644766519582</c:v>
                </c:pt>
                <c:pt idx="4">
                  <c:v>-200</c:v>
                </c:pt>
              </c:numCache>
            </c:numRef>
          </c:xVal>
          <c:yVal>
            <c:numRef>
              <c:f>RAINBOW!$BY$7:$BY$11</c:f>
              <c:numCache>
                <c:formatCode>General</c:formatCode>
                <c:ptCount val="5"/>
                <c:pt idx="0">
                  <c:v>38.857298072848543</c:v>
                </c:pt>
                <c:pt idx="1">
                  <c:v>38.857298072848543</c:v>
                </c:pt>
                <c:pt idx="2">
                  <c:v>17.518518008579882</c:v>
                </c:pt>
                <c:pt idx="3">
                  <c:v>-49.968931061725094</c:v>
                </c:pt>
                <c:pt idx="4">
                  <c:v>-225.48158910863336</c:v>
                </c:pt>
              </c:numCache>
            </c:numRef>
          </c:yVal>
          <c:smooth val="0"/>
        </c:ser>
        <c:ser>
          <c:idx val="15"/>
          <c:order val="16"/>
          <c:tx>
            <c:v>r15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RAINBOW!$BZ$7:$BZ$11</c:f>
              <c:numCache>
                <c:formatCode>General</c:formatCode>
                <c:ptCount val="5"/>
                <c:pt idx="0">
                  <c:v>-200</c:v>
                </c:pt>
                <c:pt idx="1">
                  <c:v>-32.139380484326971</c:v>
                </c:pt>
                <c:pt idx="2">
                  <c:v>46.883647892493762</c:v>
                </c:pt>
                <c:pt idx="3">
                  <c:v>0.58578576938674853</c:v>
                </c:pt>
                <c:pt idx="4">
                  <c:v>-200</c:v>
                </c:pt>
              </c:numCache>
            </c:numRef>
          </c:xVal>
          <c:yVal>
            <c:numRef>
              <c:f>RAINBOW!$CA$7:$CA$11</c:f>
              <c:numCache>
                <c:formatCode>General</c:formatCode>
                <c:ptCount val="5"/>
                <c:pt idx="0">
                  <c:v>38.302222155948904</c:v>
                </c:pt>
                <c:pt idx="1">
                  <c:v>38.302222155948904</c:v>
                </c:pt>
                <c:pt idx="2">
                  <c:v>17.375947752357717</c:v>
                </c:pt>
                <c:pt idx="3">
                  <c:v>-49.996568432567287</c:v>
                </c:pt>
                <c:pt idx="4">
                  <c:v>-222.35268392914872</c:v>
                </c:pt>
              </c:numCache>
            </c:numRef>
          </c:yVal>
          <c:smooth val="0"/>
        </c:ser>
        <c:ser>
          <c:idx val="16"/>
          <c:order val="17"/>
          <c:tx>
            <c:v>r16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RAINBOW!$CB$7:$CB$11</c:f>
              <c:numCache>
                <c:formatCode>General</c:formatCode>
                <c:ptCount val="5"/>
                <c:pt idx="0">
                  <c:v>-200</c:v>
                </c:pt>
                <c:pt idx="1">
                  <c:v>-32.802951449525366</c:v>
                </c:pt>
                <c:pt idx="2">
                  <c:v>46.941110219176899</c:v>
                </c:pt>
                <c:pt idx="3">
                  <c:v>-0.61903936489496136</c:v>
                </c:pt>
                <c:pt idx="4">
                  <c:v>-200</c:v>
                </c:pt>
              </c:numCache>
            </c:numRef>
          </c:xVal>
          <c:yVal>
            <c:numRef>
              <c:f>RAINBOW!$CC$7:$CC$11</c:f>
              <c:numCache>
                <c:formatCode>General</c:formatCode>
                <c:ptCount val="5"/>
                <c:pt idx="0">
                  <c:v>37.735479011138601</c:v>
                </c:pt>
                <c:pt idx="1">
                  <c:v>37.735479011138601</c:v>
                </c:pt>
                <c:pt idx="2">
                  <c:v>17.220109505780925</c:v>
                </c:pt>
                <c:pt idx="3">
                  <c:v>-49.996167755786146</c:v>
                </c:pt>
                <c:pt idx="4">
                  <c:v>-219.0273800092877</c:v>
                </c:pt>
              </c:numCache>
            </c:numRef>
          </c:yVal>
          <c:smooth val="0"/>
        </c:ser>
        <c:ser>
          <c:idx val="17"/>
          <c:order val="18"/>
          <c:tx>
            <c:v>r17</c:v>
          </c:tx>
          <c:marker>
            <c:symbol val="none"/>
          </c:marker>
          <c:xVal>
            <c:numRef>
              <c:f>RAINBOW!$CD$7:$CD$11</c:f>
              <c:numCache>
                <c:formatCode>General</c:formatCode>
                <c:ptCount val="5"/>
                <c:pt idx="0">
                  <c:v>-200</c:v>
                </c:pt>
                <c:pt idx="1">
                  <c:v>-33.456530317942914</c:v>
                </c:pt>
                <c:pt idx="2">
                  <c:v>47.002646471303329</c:v>
                </c:pt>
                <c:pt idx="3">
                  <c:v>-1.8504067238650126</c:v>
                </c:pt>
                <c:pt idx="4">
                  <c:v>-200</c:v>
                </c:pt>
              </c:numCache>
            </c:numRef>
          </c:xVal>
          <c:yVal>
            <c:numRef>
              <c:f>RAINBOW!$CE$7:$CE$11</c:f>
              <c:numCache>
                <c:formatCode>General</c:formatCode>
                <c:ptCount val="5"/>
                <c:pt idx="0">
                  <c:v>37.157241273869715</c:v>
                </c:pt>
                <c:pt idx="1">
                  <c:v>37.157241273869715</c:v>
                </c:pt>
                <c:pt idx="2">
                  <c:v>17.051428816778873</c:v>
                </c:pt>
                <c:pt idx="3">
                  <c:v>-49.965748217716857</c:v>
                </c:pt>
                <c:pt idx="4">
                  <c:v>-215.52178435406202</c:v>
                </c:pt>
              </c:numCache>
            </c:numRef>
          </c:yVal>
          <c:smooth val="0"/>
        </c:ser>
        <c:ser>
          <c:idx val="18"/>
          <c:order val="19"/>
          <c:tx>
            <c:v>r18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RAINBOW!$CD$7:$CD$11</c:f>
              <c:numCache>
                <c:formatCode>General</c:formatCode>
                <c:ptCount val="5"/>
                <c:pt idx="0">
                  <c:v>-200</c:v>
                </c:pt>
                <c:pt idx="1">
                  <c:v>-33.456530317942914</c:v>
                </c:pt>
                <c:pt idx="2">
                  <c:v>47.002646471303329</c:v>
                </c:pt>
                <c:pt idx="3">
                  <c:v>-1.8504067238650126</c:v>
                </c:pt>
                <c:pt idx="4">
                  <c:v>-200</c:v>
                </c:pt>
              </c:numCache>
            </c:numRef>
          </c:xVal>
          <c:yVal>
            <c:numRef>
              <c:f>RAINBOW!$CE$7:$CE$11</c:f>
              <c:numCache>
                <c:formatCode>General</c:formatCode>
                <c:ptCount val="5"/>
                <c:pt idx="0">
                  <c:v>37.157241273869715</c:v>
                </c:pt>
                <c:pt idx="1">
                  <c:v>37.157241273869715</c:v>
                </c:pt>
                <c:pt idx="2">
                  <c:v>17.051428816778873</c:v>
                </c:pt>
                <c:pt idx="3">
                  <c:v>-49.965748217716857</c:v>
                </c:pt>
                <c:pt idx="4">
                  <c:v>-215.52178435406202</c:v>
                </c:pt>
              </c:numCache>
            </c:numRef>
          </c:yVal>
          <c:smooth val="0"/>
        </c:ser>
        <c:ser>
          <c:idx val="19"/>
          <c:order val="20"/>
          <c:tx>
            <c:v>r19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RAINBOW!$CF$7:$CF$11</c:f>
              <c:numCache>
                <c:formatCode>General</c:formatCode>
                <c:ptCount val="5"/>
                <c:pt idx="0">
                  <c:v>-200</c:v>
                </c:pt>
                <c:pt idx="1">
                  <c:v>-34.099918003124927</c:v>
                </c:pt>
                <c:pt idx="2">
                  <c:v>47.06795488111829</c:v>
                </c:pt>
                <c:pt idx="3">
                  <c:v>-3.1065447129556429</c:v>
                </c:pt>
                <c:pt idx="4">
                  <c:v>-200</c:v>
                </c:pt>
              </c:numCache>
            </c:numRef>
          </c:xVal>
          <c:yVal>
            <c:numRef>
              <c:f>RAINBOW!$CG$7:$CG$11</c:f>
              <c:numCache>
                <c:formatCode>General</c:formatCode>
                <c:ptCount val="5"/>
                <c:pt idx="0">
                  <c:v>36.567685080958526</c:v>
                </c:pt>
                <c:pt idx="1">
                  <c:v>36.567685080958526</c:v>
                </c:pt>
                <c:pt idx="2">
                  <c:v>16.870317818850154</c:v>
                </c:pt>
                <c:pt idx="3">
                  <c:v>-49.903400484800706</c:v>
                </c:pt>
                <c:pt idx="4">
                  <c:v>-211.85155681234062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025728"/>
        <c:axId val="172027264"/>
      </c:scatterChart>
      <c:valAx>
        <c:axId val="17202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027264"/>
        <c:crosses val="autoZero"/>
        <c:crossBetween val="midCat"/>
      </c:valAx>
      <c:valAx>
        <c:axId val="172027264"/>
        <c:scaling>
          <c:orientation val="minMax"/>
          <c:max val="100"/>
          <c:min val="-15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2025728"/>
        <c:crosses val="autoZero"/>
        <c:crossBetween val="midCat"/>
      </c:valAx>
      <c:spPr>
        <a:noFill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Transmission</a:t>
            </a:r>
            <a:r>
              <a:rPr lang="en-US" baseline="0"/>
              <a:t>  </a:t>
            </a:r>
            <a:r>
              <a:rPr lang="en-US" sz="1400" baseline="0"/>
              <a:t>coefficient</a:t>
            </a:r>
            <a:endParaRPr lang="el-GR" sz="1400"/>
          </a:p>
        </c:rich>
      </c:tx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RAINBOW!$A$101:$A$188</c:f>
              <c:numCache>
                <c:formatCode>General</c:formatCode>
                <c:ptCount val="8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</c:numCache>
            </c:numRef>
          </c:xVal>
          <c:yVal>
            <c:numRef>
              <c:f>RAINBOW!$D$101:$D$188</c:f>
              <c:numCache>
                <c:formatCode>General</c:formatCode>
                <c:ptCount val="88"/>
                <c:pt idx="0">
                  <c:v>1.9262632503290741E-2</c:v>
                </c:pt>
                <c:pt idx="1">
                  <c:v>1.9262646460677674E-2</c:v>
                </c:pt>
                <c:pt idx="2">
                  <c:v>1.9262707042635604E-2</c:v>
                </c:pt>
                <c:pt idx="3">
                  <c:v>1.9262870550759047E-2</c:v>
                </c:pt>
                <c:pt idx="4">
                  <c:v>1.9263216454513423E-2</c:v>
                </c:pt>
                <c:pt idx="5">
                  <c:v>1.92638480454566E-2</c:v>
                </c:pt>
                <c:pt idx="6">
                  <c:v>1.9264893288440204E-2</c:v>
                </c:pt>
                <c:pt idx="7">
                  <c:v>1.9266505877463987E-2</c:v>
                </c:pt>
                <c:pt idx="8">
                  <c:v>1.9268866505711479E-2</c:v>
                </c:pt>
                <c:pt idx="9">
                  <c:v>1.9272184361233017E-2</c:v>
                </c:pt>
                <c:pt idx="10">
                  <c:v>1.9276698861792368E-2</c:v>
                </c:pt>
                <c:pt idx="11">
                  <c:v>1.9282681644563884E-2</c:v>
                </c:pt>
                <c:pt idx="12">
                  <c:v>1.9290438828681509E-2</c:v>
                </c:pt>
                <c:pt idx="13">
                  <c:v>1.9300313571118811E-2</c:v>
                </c:pt>
                <c:pt idx="14">
                  <c:v>1.9312688939036031E-2</c:v>
                </c:pt>
                <c:pt idx="15">
                  <c:v>1.9327991124588172E-2</c:v>
                </c:pt>
                <c:pt idx="16">
                  <c:v>1.9346693031267379E-2</c:v>
                </c:pt>
                <c:pt idx="17">
                  <c:v>1.9369318264171625E-2</c:v>
                </c:pt>
                <c:pt idx="18">
                  <c:v>1.9396445560167532E-2</c:v>
                </c:pt>
                <c:pt idx="19">
                  <c:v>1.9428713697770054E-2</c:v>
                </c:pt>
                <c:pt idx="20">
                  <c:v>1.9466826930704312E-2</c:v>
                </c:pt>
                <c:pt idx="21">
                  <c:v>1.9511560993563347E-2</c:v>
                </c:pt>
                <c:pt idx="22">
                  <c:v>1.9563769732733705E-2</c:v>
                </c:pt>
                <c:pt idx="23">
                  <c:v>1.9624392420827089E-2</c:v>
                </c:pt>
                <c:pt idx="24">
                  <c:v>1.9694461818230206E-2</c:v>
                </c:pt>
                <c:pt idx="25">
                  <c:v>1.9775113051034309E-2</c:v>
                </c:pt>
                <c:pt idx="26">
                  <c:v>1.986759338050121E-2</c:v>
                </c:pt>
                <c:pt idx="27">
                  <c:v>1.9973272945305105E-2</c:v>
                </c:pt>
                <c:pt idx="28">
                  <c:v>2.0093656563963416E-2</c:v>
                </c:pt>
                <c:pt idx="29">
                  <c:v>2.0230396691025585E-2</c:v>
                </c:pt>
                <c:pt idx="30">
                  <c:v>2.0385307626542164E-2</c:v>
                </c:pt>
                <c:pt idx="31">
                  <c:v>2.0560381083868241E-2</c:v>
                </c:pt>
                <c:pt idx="32">
                  <c:v>2.0757803225653248E-2</c:v>
                </c:pt>
                <c:pt idx="33">
                  <c:v>2.0979973281535034E-2</c:v>
                </c:pt>
                <c:pt idx="34">
                  <c:v>2.1229523863059093E-2</c:v>
                </c:pt>
                <c:pt idx="35">
                  <c:v>2.1509343091015525E-2</c:v>
                </c:pt>
                <c:pt idx="36">
                  <c:v>2.1822598646843407E-2</c:v>
                </c:pt>
                <c:pt idx="37">
                  <c:v>2.2172763851890199E-2</c:v>
                </c:pt>
                <c:pt idx="38">
                  <c:v>2.2563645864713048E-2</c:v>
                </c:pt>
                <c:pt idx="39">
                  <c:v>2.2999416065473066E-2</c:v>
                </c:pt>
                <c:pt idx="40">
                  <c:v>2.3484642665548037E-2</c:v>
                </c:pt>
                <c:pt idx="41">
                  <c:v>2.4024325536921499E-2</c:v>
                </c:pt>
                <c:pt idx="42">
                  <c:v>2.4623933196141316E-2</c:v>
                </c:pt>
                <c:pt idx="43">
                  <c:v>2.5289441797223484E-2</c:v>
                </c:pt>
                <c:pt idx="44">
                  <c:v>2.6027375881272147E-2</c:v>
                </c:pt>
                <c:pt idx="45">
                  <c:v>2.6844850490911672E-2</c:v>
                </c:pt>
                <c:pt idx="46">
                  <c:v>2.7749614076379509E-2</c:v>
                </c:pt>
                <c:pt idx="47">
                  <c:v>2.8750091386808875E-2</c:v>
                </c:pt>
                <c:pt idx="48">
                  <c:v>2.9855425241948709E-2</c:v>
                </c:pt>
                <c:pt idx="49">
                  <c:v>3.1075515700539142E-2</c:v>
                </c:pt>
                <c:pt idx="50">
                  <c:v>3.242105466254281E-2</c:v>
                </c:pt>
                <c:pt idx="51">
                  <c:v>3.3903553340100333E-2</c:v>
                </c:pt>
                <c:pt idx="52">
                  <c:v>3.5535359278289366E-2</c:v>
                </c:pt>
                <c:pt idx="53">
                  <c:v>3.7329658667818809E-2</c:v>
                </c:pt>
                <c:pt idx="54">
                  <c:v>3.9300458527635154E-2</c:v>
                </c:pt>
                <c:pt idx="55">
                  <c:v>4.1462541898930033E-2</c:v>
                </c:pt>
                <c:pt idx="56">
                  <c:v>4.3831387428465582E-2</c:v>
                </c:pt>
                <c:pt idx="57">
                  <c:v>4.6423042565852272E-2</c:v>
                </c:pt>
                <c:pt idx="58">
                  <c:v>4.9253936986347314E-2</c:v>
                </c:pt>
                <c:pt idx="59">
                  <c:v>5.2340619701792948E-2</c:v>
                </c:pt>
                <c:pt idx="60">
                  <c:v>5.5699399558512955E-2</c:v>
                </c:pt>
                <c:pt idx="61">
                  <c:v>5.934586436631873E-2</c:v>
                </c:pt>
                <c:pt idx="62">
                  <c:v>6.3294248694111335E-2</c:v>
                </c:pt>
                <c:pt idx="63">
                  <c:v>6.7556614370882492E-2</c:v>
                </c:pt>
                <c:pt idx="64">
                  <c:v>7.2141800966923339E-2</c:v>
                </c:pt>
                <c:pt idx="65">
                  <c:v>7.7054096113914589E-2</c:v>
                </c:pt>
                <c:pt idx="66">
                  <c:v>8.2291567724528697E-2</c:v>
                </c:pt>
                <c:pt idx="67">
                  <c:v>8.7843992509041999E-2</c:v>
                </c:pt>
                <c:pt idx="68">
                  <c:v>9.3690308558783117E-2</c:v>
                </c:pt>
                <c:pt idx="69">
                  <c:v>9.9795515662641346E-2</c:v>
                </c:pt>
                <c:pt idx="70">
                  <c:v>0.10610694782335818</c:v>
                </c:pt>
                <c:pt idx="71">
                  <c:v>0.1125498518656696</c:v>
                </c:pt>
                <c:pt idx="72">
                  <c:v>0.11902222980469664</c:v>
                </c:pt>
                <c:pt idx="73">
                  <c:v>0.12538894948510887</c:v>
                </c:pt>
                <c:pt idx="74">
                  <c:v>0.13147521106860235</c:v>
                </c:pt>
                <c:pt idx="75">
                  <c:v>0.13705959600094647</c:v>
                </c:pt>
                <c:pt idx="76">
                  <c:v>0.14186714970249714</c:v>
                </c:pt>
                <c:pt idx="77">
                  <c:v>0.14556330356181438</c:v>
                </c:pt>
                <c:pt idx="78">
                  <c:v>0.14774999177932763</c:v>
                </c:pt>
                <c:pt idx="79">
                  <c:v>0.14796616260297613</c:v>
                </c:pt>
                <c:pt idx="80">
                  <c:v>0.1456961686157825</c:v>
                </c:pt>
                <c:pt idx="81">
                  <c:v>0.14039146736046229</c:v>
                </c:pt>
                <c:pt idx="82">
                  <c:v>0.13151400289703807</c:v>
                </c:pt>
                <c:pt idx="83">
                  <c:v>0.11861407041426068</c:v>
                </c:pt>
                <c:pt idx="84">
                  <c:v>0.10146214653148403</c:v>
                </c:pt>
                <c:pt idx="85">
                  <c:v>8.0264249732685089E-2</c:v>
                </c:pt>
                <c:pt idx="86">
                  <c:v>5.600564295675442E-2</c:v>
                </c:pt>
                <c:pt idx="87">
                  <c:v>3.0990822606557757E-2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52576"/>
        <c:axId val="130967040"/>
      </c:scatterChart>
      <c:valAx>
        <c:axId val="130952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angle of incidence</a:t>
                </a:r>
                <a:endParaRPr lang="el-GR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0967040"/>
        <c:crosses val="autoZero"/>
        <c:crossBetween val="midCat"/>
      </c:valAx>
      <c:valAx>
        <c:axId val="130967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09525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d(angle of deviation)/dy vs y</a:t>
            </a:r>
            <a:endParaRPr lang="el-GR" sz="1400"/>
          </a:p>
        </c:rich>
      </c:tx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RAINBOW!$E$101:$E$188</c:f>
              <c:numCache>
                <c:formatCode>General</c:formatCode>
                <c:ptCount val="88"/>
                <c:pt idx="0">
                  <c:v>1.7452406437283512E-2</c:v>
                </c:pt>
                <c:pt idx="1">
                  <c:v>3.4899496702500969E-2</c:v>
                </c:pt>
                <c:pt idx="2">
                  <c:v>5.2335956242943835E-2</c:v>
                </c:pt>
                <c:pt idx="3">
                  <c:v>6.9756473744125302E-2</c:v>
                </c:pt>
                <c:pt idx="4">
                  <c:v>8.7155742747658166E-2</c:v>
                </c:pt>
                <c:pt idx="5">
                  <c:v>0.10452846326765347</c:v>
                </c:pt>
                <c:pt idx="6">
                  <c:v>0.12186934340514748</c:v>
                </c:pt>
                <c:pt idx="7">
                  <c:v>0.13917310096006544</c:v>
                </c:pt>
                <c:pt idx="8">
                  <c:v>0.15643446504023087</c:v>
                </c:pt>
                <c:pt idx="9">
                  <c:v>0.17364817766693033</c:v>
                </c:pt>
                <c:pt idx="10">
                  <c:v>0.1908089953765448</c:v>
                </c:pt>
                <c:pt idx="11">
                  <c:v>0.20791169081775934</c:v>
                </c:pt>
                <c:pt idx="12">
                  <c:v>0.224951054343865</c:v>
                </c:pt>
                <c:pt idx="13">
                  <c:v>0.24192189559966773</c:v>
                </c:pt>
                <c:pt idx="14">
                  <c:v>0.25881904510252074</c:v>
                </c:pt>
                <c:pt idx="15">
                  <c:v>0.27563735581699916</c:v>
                </c:pt>
                <c:pt idx="16">
                  <c:v>0.29237170472273677</c:v>
                </c:pt>
                <c:pt idx="17">
                  <c:v>0.3090169943749474</c:v>
                </c:pt>
                <c:pt idx="18">
                  <c:v>0.3255681544571567</c:v>
                </c:pt>
                <c:pt idx="19">
                  <c:v>0.34202014332566871</c:v>
                </c:pt>
                <c:pt idx="20">
                  <c:v>0.35836794954530027</c:v>
                </c:pt>
                <c:pt idx="21">
                  <c:v>0.37460659341591201</c:v>
                </c:pt>
                <c:pt idx="22">
                  <c:v>0.39073112848927377</c:v>
                </c:pt>
                <c:pt idx="23">
                  <c:v>0.40673664307580021</c:v>
                </c:pt>
                <c:pt idx="24">
                  <c:v>0.42261826174069944</c:v>
                </c:pt>
                <c:pt idx="25">
                  <c:v>0.4383711467890774</c:v>
                </c:pt>
                <c:pt idx="26">
                  <c:v>0.45399049973954675</c:v>
                </c:pt>
                <c:pt idx="27">
                  <c:v>0.46947156278589081</c:v>
                </c:pt>
                <c:pt idx="28">
                  <c:v>0.48480962024633706</c:v>
                </c:pt>
                <c:pt idx="29">
                  <c:v>0.49999999999999994</c:v>
                </c:pt>
                <c:pt idx="30">
                  <c:v>0.51503807491005416</c:v>
                </c:pt>
                <c:pt idx="31">
                  <c:v>0.5299192642332049</c:v>
                </c:pt>
                <c:pt idx="32">
                  <c:v>0.54463903501502708</c:v>
                </c:pt>
                <c:pt idx="33">
                  <c:v>0.5591929034707469</c:v>
                </c:pt>
                <c:pt idx="34">
                  <c:v>0.57357643635104605</c:v>
                </c:pt>
                <c:pt idx="35">
                  <c:v>0.58778525229247314</c:v>
                </c:pt>
                <c:pt idx="36">
                  <c:v>0.60181502315204827</c:v>
                </c:pt>
                <c:pt idx="37">
                  <c:v>0.61566147532565829</c:v>
                </c:pt>
                <c:pt idx="38">
                  <c:v>0.62932039104983739</c:v>
                </c:pt>
                <c:pt idx="39">
                  <c:v>0.64278760968653925</c:v>
                </c:pt>
                <c:pt idx="40">
                  <c:v>0.65605902899050728</c:v>
                </c:pt>
                <c:pt idx="41">
                  <c:v>0.66913060635885824</c:v>
                </c:pt>
                <c:pt idx="42">
                  <c:v>0.68199836006249848</c:v>
                </c:pt>
                <c:pt idx="43">
                  <c:v>0.69465837045899725</c:v>
                </c:pt>
                <c:pt idx="44">
                  <c:v>0.70710678118654746</c:v>
                </c:pt>
                <c:pt idx="45">
                  <c:v>0.71933980033865108</c:v>
                </c:pt>
                <c:pt idx="46">
                  <c:v>0.73135370161917046</c:v>
                </c:pt>
                <c:pt idx="47">
                  <c:v>0.74314482547739424</c:v>
                </c:pt>
                <c:pt idx="48">
                  <c:v>0.75470958022277201</c:v>
                </c:pt>
                <c:pt idx="49">
                  <c:v>0.76604444311897801</c:v>
                </c:pt>
                <c:pt idx="50">
                  <c:v>0.7771459614569709</c:v>
                </c:pt>
                <c:pt idx="51">
                  <c:v>0.78801075360672201</c:v>
                </c:pt>
                <c:pt idx="52">
                  <c:v>0.79863551004729283</c:v>
                </c:pt>
                <c:pt idx="53">
                  <c:v>0.80901699437494745</c:v>
                </c:pt>
                <c:pt idx="54">
                  <c:v>0.8191520442889918</c:v>
                </c:pt>
                <c:pt idx="55">
                  <c:v>0.82903757255504174</c:v>
                </c:pt>
                <c:pt idx="56">
                  <c:v>0.83867056794542405</c:v>
                </c:pt>
                <c:pt idx="57">
                  <c:v>0.84804809615642596</c:v>
                </c:pt>
                <c:pt idx="58">
                  <c:v>0.85716730070211233</c:v>
                </c:pt>
                <c:pt idx="59">
                  <c:v>0.8660254037844386</c:v>
                </c:pt>
                <c:pt idx="60">
                  <c:v>0.87461970713939574</c:v>
                </c:pt>
                <c:pt idx="61">
                  <c:v>0.88294759285892688</c:v>
                </c:pt>
                <c:pt idx="62">
                  <c:v>0.89100652418836779</c:v>
                </c:pt>
                <c:pt idx="63">
                  <c:v>0.89879404629916704</c:v>
                </c:pt>
                <c:pt idx="64">
                  <c:v>0.90630778703664994</c:v>
                </c:pt>
                <c:pt idx="65">
                  <c:v>0.91354545764260087</c:v>
                </c:pt>
                <c:pt idx="66">
                  <c:v>0.92050485345244037</c:v>
                </c:pt>
                <c:pt idx="67">
                  <c:v>0.92718385456678742</c:v>
                </c:pt>
                <c:pt idx="68">
                  <c:v>0.93358042649720174</c:v>
                </c:pt>
                <c:pt idx="69">
                  <c:v>0.93969262078590832</c:v>
                </c:pt>
                <c:pt idx="70">
                  <c:v>0.94551857559931674</c:v>
                </c:pt>
                <c:pt idx="71">
                  <c:v>0.95105651629515353</c:v>
                </c:pt>
                <c:pt idx="72">
                  <c:v>0.95630475596303544</c:v>
                </c:pt>
                <c:pt idx="73">
                  <c:v>0.96126169593831889</c:v>
                </c:pt>
                <c:pt idx="74">
                  <c:v>0.96592582628906831</c:v>
                </c:pt>
                <c:pt idx="75">
                  <c:v>0.97029572627599647</c:v>
                </c:pt>
                <c:pt idx="76">
                  <c:v>0.97437006478523525</c:v>
                </c:pt>
                <c:pt idx="77">
                  <c:v>0.97814760073380558</c:v>
                </c:pt>
                <c:pt idx="78">
                  <c:v>0.98162718344766398</c:v>
                </c:pt>
                <c:pt idx="79">
                  <c:v>0.98480775301220802</c:v>
                </c:pt>
                <c:pt idx="80">
                  <c:v>0.98768834059513777</c:v>
                </c:pt>
                <c:pt idx="81">
                  <c:v>0.99026806874157036</c:v>
                </c:pt>
                <c:pt idx="82">
                  <c:v>0.99254615164132198</c:v>
                </c:pt>
                <c:pt idx="83">
                  <c:v>0.99452189536827329</c:v>
                </c:pt>
                <c:pt idx="84">
                  <c:v>0.99619469809174555</c:v>
                </c:pt>
                <c:pt idx="85">
                  <c:v>0.9975640502598242</c:v>
                </c:pt>
                <c:pt idx="86">
                  <c:v>0.99862953475457383</c:v>
                </c:pt>
                <c:pt idx="87">
                  <c:v>0.99939082701909576</c:v>
                </c:pt>
              </c:numCache>
            </c:numRef>
          </c:xVal>
          <c:yVal>
            <c:numRef>
              <c:f>RAINBOW!$O$101:$O$188</c:f>
              <c:numCache>
                <c:formatCode>General</c:formatCode>
                <c:ptCount val="88"/>
                <c:pt idx="0">
                  <c:v>0.53024737040748171</c:v>
                </c:pt>
                <c:pt idx="1">
                  <c:v>0.53106394229300802</c:v>
                </c:pt>
                <c:pt idx="2">
                  <c:v>0.53242776248285717</c:v>
                </c:pt>
                <c:pt idx="3">
                  <c:v>0.53434315434447877</c:v>
                </c:pt>
                <c:pt idx="4">
                  <c:v>0.53681621653546363</c:v>
                </c:pt>
                <c:pt idx="5">
                  <c:v>0.53985486977280162</c:v>
                </c:pt>
                <c:pt idx="6">
                  <c:v>0.54346891816843146</c:v>
                </c:pt>
                <c:pt idx="7">
                  <c:v>0.54767012607596766</c:v>
                </c:pt>
                <c:pt idx="8">
                  <c:v>0.55247231165224697</c:v>
                </c:pt>
                <c:pt idx="9">
                  <c:v>0.55789145862829315</c:v>
                </c:pt>
                <c:pt idx="10">
                  <c:v>0.56394584811623572</c:v>
                </c:pt>
                <c:pt idx="11">
                  <c:v>0.5706562126618141</c:v>
                </c:pt>
                <c:pt idx="12">
                  <c:v>0.57804591519925808</c:v>
                </c:pt>
                <c:pt idx="13">
                  <c:v>0.58614115609169859</c:v>
                </c:pt>
                <c:pt idx="14">
                  <c:v>0.59497121206496828</c:v>
                </c:pt>
                <c:pt idx="15">
                  <c:v>0.60456871158929548</c:v>
                </c:pt>
                <c:pt idx="16">
                  <c:v>0.6149699521616474</c:v>
                </c:pt>
                <c:pt idx="17">
                  <c:v>0.62621526602856681</c:v>
                </c:pt>
                <c:pt idx="18">
                  <c:v>0.63834944221276213</c:v>
                </c:pt>
                <c:pt idx="19">
                  <c:v>0.65142221432678404</c:v>
                </c:pt>
                <c:pt idx="20">
                  <c:v>0.66548882565161382</c:v>
                </c:pt>
                <c:pt idx="21">
                  <c:v>0.68061068542707248</c:v>
                </c:pt>
                <c:pt idx="22">
                  <c:v>0.69685613337528085</c:v>
                </c:pt>
                <c:pt idx="23">
                  <c:v>0.71430133332854906</c:v>
                </c:pt>
                <c:pt idx="24">
                  <c:v>0.73303132168443152</c:v>
                </c:pt>
                <c:pt idx="25">
                  <c:v>0.75314124256193327</c:v>
                </c:pt>
                <c:pt idx="26">
                  <c:v>0.77473780938407921</c:v>
                </c:pt>
                <c:pt idx="27">
                  <c:v>0.79794104270235311</c:v>
                </c:pt>
                <c:pt idx="28">
                  <c:v>0.82288634714132125</c:v>
                </c:pt>
                <c:pt idx="29">
                  <c:v>0.84972700738292117</c:v>
                </c:pt>
                <c:pt idx="30">
                  <c:v>0.87863720552304825</c:v>
                </c:pt>
                <c:pt idx="31">
                  <c:v>0.90981569186714562</c:v>
                </c:pt>
                <c:pt idx="32">
                  <c:v>0.94349028104263799</c:v>
                </c:pt>
                <c:pt idx="33">
                  <c:v>0.97992339913513238</c:v>
                </c:pt>
                <c:pt idx="34">
                  <c:v>1.0194189811070651</c:v>
                </c:pt>
                <c:pt idx="35">
                  <c:v>1.0623311193976439</c:v>
                </c:pt>
                <c:pt idx="36">
                  <c:v>1.1090750067716633</c:v>
                </c:pt>
                <c:pt idx="37">
                  <c:v>1.1601409179629361</c:v>
                </c:pt>
                <c:pt idx="38">
                  <c:v>1.2161122642622637</c:v>
                </c:pt>
                <c:pt idx="39">
                  <c:v>1.277689177931991</c:v>
                </c:pt>
                <c:pt idx="40">
                  <c:v>1.3457197108274204</c:v>
                </c:pt>
                <c:pt idx="41">
                  <c:v>1.4212416803196792</c:v>
                </c:pt>
                <c:pt idx="42">
                  <c:v>1.5055396592307062</c:v>
                </c:pt>
                <c:pt idx="43">
                  <c:v>1.6002239153997022</c:v>
                </c:pt>
                <c:pt idx="44">
                  <c:v>1.7073418402731111</c:v>
                </c:pt>
                <c:pt idx="45">
                  <c:v>1.8295386134080729</c:v>
                </c:pt>
                <c:pt idx="46">
                  <c:v>1.9702944966307767</c:v>
                </c:pt>
                <c:pt idx="47">
                  <c:v>2.1342850698048181</c:v>
                </c:pt>
                <c:pt idx="48">
                  <c:v>2.3279457240223111</c:v>
                </c:pt>
                <c:pt idx="49">
                  <c:v>2.5603895997595996</c:v>
                </c:pt>
                <c:pt idx="50">
                  <c:v>2.8449671827081127</c:v>
                </c:pt>
                <c:pt idx="51">
                  <c:v>3.202059757665181</c:v>
                </c:pt>
                <c:pt idx="52">
                  <c:v>3.6644183866585149</c:v>
                </c:pt>
                <c:pt idx="53">
                  <c:v>4.2882389501478668</c:v>
                </c:pt>
                <c:pt idx="54">
                  <c:v>5.1787308107789292</c:v>
                </c:pt>
                <c:pt idx="55">
                  <c:v>6.5584797867058979</c:v>
                </c:pt>
                <c:pt idx="56">
                  <c:v>8.9944932700732334</c:v>
                </c:pt>
                <c:pt idx="57">
                  <c:v>14.484768807583032</c:v>
                </c:pt>
                <c:pt idx="58">
                  <c:v>38.690743036581445</c:v>
                </c:pt>
                <c:pt idx="59">
                  <c:v>-53.649564840697437</c:v>
                </c:pt>
                <c:pt idx="60">
                  <c:v>-15.454573063329512</c:v>
                </c:pt>
                <c:pt idx="61">
                  <c:v>-8.8735049776250587</c:v>
                </c:pt>
                <c:pt idx="62">
                  <c:v>-6.1343433016903042</c:v>
                </c:pt>
                <c:pt idx="63">
                  <c:v>-4.6261344222449106</c:v>
                </c:pt>
                <c:pt idx="64">
                  <c:v>-3.6666056986232052</c:v>
                </c:pt>
                <c:pt idx="65">
                  <c:v>-2.9989323999494251</c:v>
                </c:pt>
                <c:pt idx="66">
                  <c:v>-2.5048634214506866</c:v>
                </c:pt>
                <c:pt idx="67">
                  <c:v>-2.1223902195024267</c:v>
                </c:pt>
                <c:pt idx="68">
                  <c:v>-1.8158834893652611</c:v>
                </c:pt>
                <c:pt idx="69">
                  <c:v>-1.5634338145164455</c:v>
                </c:pt>
                <c:pt idx="70">
                  <c:v>-1.350846306267004</c:v>
                </c:pt>
                <c:pt idx="71">
                  <c:v>-1.1685374065040233</c:v>
                </c:pt>
                <c:pt idx="72">
                  <c:v>-1.0098193909042692</c:v>
                </c:pt>
                <c:pt idx="73">
                  <c:v>-0.86989858683595611</c:v>
                </c:pt>
                <c:pt idx="74">
                  <c:v>-0.74526309274678271</c:v>
                </c:pt>
                <c:pt idx="75">
                  <c:v>-0.6332937900918002</c:v>
                </c:pt>
                <c:pt idx="76">
                  <c:v>-0.53200879188679984</c:v>
                </c:pt>
                <c:pt idx="77">
                  <c:v>-0.4398905138222482</c:v>
                </c:pt>
                <c:pt idx="78">
                  <c:v>-0.35576550267263757</c:v>
                </c:pt>
                <c:pt idx="79">
                  <c:v>-0.27871887530879852</c:v>
                </c:pt>
                <c:pt idx="80">
                  <c:v>-0.20803202003695706</c:v>
                </c:pt>
                <c:pt idx="81">
                  <c:v>-0.14313628485013666</c:v>
                </c:pt>
                <c:pt idx="82">
                  <c:v>-8.3577887750215282E-2</c:v>
                </c:pt>
                <c:pt idx="83">
                  <c:v>-2.8990871418369108E-2</c:v>
                </c:pt>
                <c:pt idx="84">
                  <c:v>2.0924049762727867E-2</c:v>
                </c:pt>
                <c:pt idx="85">
                  <c:v>6.641622691064053E-2</c:v>
                </c:pt>
                <c:pt idx="86">
                  <c:v>0.10769842323079332</c:v>
                </c:pt>
                <c:pt idx="87">
                  <c:v>0.14495749031617913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79712"/>
        <c:axId val="130981888"/>
      </c:scatterChart>
      <c:valAx>
        <c:axId val="13097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sin(angle of incidence)</a:t>
                </a:r>
                <a:endParaRPr lang="el-GR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0981888"/>
        <c:crosses val="autoZero"/>
        <c:crossBetween val="midCat"/>
      </c:valAx>
      <c:valAx>
        <c:axId val="130981888"/>
        <c:scaling>
          <c:orientation val="minMax"/>
          <c:max val="20"/>
          <c:min val="-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09797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000000000000003E-2"/>
          <c:y val="4.6770924467774859E-2"/>
          <c:w val="0.90469541576279611"/>
          <c:h val="0.72232670953101874"/>
        </c:manualLayout>
      </c:layout>
      <c:scatterChart>
        <c:scatterStyle val="lineMarker"/>
        <c:varyColors val="0"/>
        <c:ser>
          <c:idx val="0"/>
          <c:order val="0"/>
          <c:tx>
            <c:v>circle</c:v>
          </c:tx>
          <c:marker>
            <c:symbol val="none"/>
          </c:marker>
          <c:xVal>
            <c:numRef>
              <c:f>RAINBOW!$BI$56:$BI$128</c:f>
              <c:numCache>
                <c:formatCode>General</c:formatCode>
                <c:ptCount val="73"/>
                <c:pt idx="0">
                  <c:v>50</c:v>
                </c:pt>
                <c:pt idx="1">
                  <c:v>49.80973490458728</c:v>
                </c:pt>
                <c:pt idx="2">
                  <c:v>49.240387650610401</c:v>
                </c:pt>
                <c:pt idx="3">
                  <c:v>48.296291314453413</c:v>
                </c:pt>
                <c:pt idx="4">
                  <c:v>46.984631039295422</c:v>
                </c:pt>
                <c:pt idx="5">
                  <c:v>45.315389351832494</c:v>
                </c:pt>
                <c:pt idx="6">
                  <c:v>43.301270189221938</c:v>
                </c:pt>
                <c:pt idx="7">
                  <c:v>40.957602214449587</c:v>
                </c:pt>
                <c:pt idx="8">
                  <c:v>38.302222155948904</c:v>
                </c:pt>
                <c:pt idx="9">
                  <c:v>35.355339059327378</c:v>
                </c:pt>
                <c:pt idx="10">
                  <c:v>32.139380484326971</c:v>
                </c:pt>
                <c:pt idx="11">
                  <c:v>28.678821817552308</c:v>
                </c:pt>
                <c:pt idx="12">
                  <c:v>25.000000000000007</c:v>
                </c:pt>
                <c:pt idx="13">
                  <c:v>21.130913087034973</c:v>
                </c:pt>
                <c:pt idx="14">
                  <c:v>17.101007166283441</c:v>
                </c:pt>
                <c:pt idx="15">
                  <c:v>12.940952255126037</c:v>
                </c:pt>
                <c:pt idx="16">
                  <c:v>8.6824088833465201</c:v>
                </c:pt>
                <c:pt idx="17">
                  <c:v>4.3577871373829069</c:v>
                </c:pt>
                <c:pt idx="18">
                  <c:v>3.06287113727155E-15</c:v>
                </c:pt>
                <c:pt idx="19">
                  <c:v>-4.3577871373829113</c:v>
                </c:pt>
                <c:pt idx="20">
                  <c:v>-8.6824088833465147</c:v>
                </c:pt>
                <c:pt idx="21">
                  <c:v>-12.940952255126042</c:v>
                </c:pt>
                <c:pt idx="22">
                  <c:v>-17.101007166283434</c:v>
                </c:pt>
                <c:pt idx="23">
                  <c:v>-21.130913087034966</c:v>
                </c:pt>
                <c:pt idx="24">
                  <c:v>-24.999999999999989</c:v>
                </c:pt>
                <c:pt idx="25">
                  <c:v>-28.678821817552308</c:v>
                </c:pt>
                <c:pt idx="26">
                  <c:v>-32.139380484326971</c:v>
                </c:pt>
                <c:pt idx="27">
                  <c:v>-35.35533905932737</c:v>
                </c:pt>
                <c:pt idx="28">
                  <c:v>-38.302222155948897</c:v>
                </c:pt>
                <c:pt idx="29">
                  <c:v>-40.957602214449594</c:v>
                </c:pt>
                <c:pt idx="30">
                  <c:v>-43.301270189221938</c:v>
                </c:pt>
                <c:pt idx="31">
                  <c:v>-45.315389351832494</c:v>
                </c:pt>
                <c:pt idx="32">
                  <c:v>-46.984631039295415</c:v>
                </c:pt>
                <c:pt idx="33">
                  <c:v>-48.296291314453413</c:v>
                </c:pt>
                <c:pt idx="34">
                  <c:v>-49.240387650610401</c:v>
                </c:pt>
                <c:pt idx="35">
                  <c:v>-49.80973490458728</c:v>
                </c:pt>
                <c:pt idx="36">
                  <c:v>-50</c:v>
                </c:pt>
                <c:pt idx="37">
                  <c:v>-49.80973490458728</c:v>
                </c:pt>
                <c:pt idx="38">
                  <c:v>-49.240387650610401</c:v>
                </c:pt>
                <c:pt idx="39">
                  <c:v>-48.296291314453413</c:v>
                </c:pt>
                <c:pt idx="40">
                  <c:v>-46.984631039295422</c:v>
                </c:pt>
                <c:pt idx="41">
                  <c:v>-45.315389351832501</c:v>
                </c:pt>
                <c:pt idx="42">
                  <c:v>-43.301270189221931</c:v>
                </c:pt>
                <c:pt idx="43">
                  <c:v>-40.957602214449587</c:v>
                </c:pt>
                <c:pt idx="44">
                  <c:v>-38.302222155948904</c:v>
                </c:pt>
                <c:pt idx="45">
                  <c:v>-35.355339059327385</c:v>
                </c:pt>
                <c:pt idx="46">
                  <c:v>-32.139380484326971</c:v>
                </c:pt>
                <c:pt idx="47">
                  <c:v>-28.678821817552318</c:v>
                </c:pt>
                <c:pt idx="48">
                  <c:v>-25.000000000000021</c:v>
                </c:pt>
                <c:pt idx="49">
                  <c:v>-21.130913087034958</c:v>
                </c:pt>
                <c:pt idx="50">
                  <c:v>-17.101007166283427</c:v>
                </c:pt>
                <c:pt idx="51">
                  <c:v>-12.940952255126032</c:v>
                </c:pt>
                <c:pt idx="52">
                  <c:v>-8.6824088833465165</c:v>
                </c:pt>
                <c:pt idx="53">
                  <c:v>-4.3577871373829122</c:v>
                </c:pt>
                <c:pt idx="54">
                  <c:v>-9.1886134118146501E-15</c:v>
                </c:pt>
                <c:pt idx="55">
                  <c:v>4.3577871373828945</c:v>
                </c:pt>
                <c:pt idx="56">
                  <c:v>8.6824088833464987</c:v>
                </c:pt>
                <c:pt idx="57">
                  <c:v>12.940952255126014</c:v>
                </c:pt>
                <c:pt idx="58">
                  <c:v>17.101007166283448</c:v>
                </c:pt>
                <c:pt idx="59">
                  <c:v>21.13091308703498</c:v>
                </c:pt>
                <c:pt idx="60">
                  <c:v>25.000000000000007</c:v>
                </c:pt>
                <c:pt idx="61">
                  <c:v>28.678821817552304</c:v>
                </c:pt>
                <c:pt idx="62">
                  <c:v>32.139380484326963</c:v>
                </c:pt>
                <c:pt idx="63">
                  <c:v>35.35533905932737</c:v>
                </c:pt>
                <c:pt idx="64">
                  <c:v>38.30222215594889</c:v>
                </c:pt>
                <c:pt idx="65">
                  <c:v>40.957602214449579</c:v>
                </c:pt>
                <c:pt idx="66">
                  <c:v>43.301270189221917</c:v>
                </c:pt>
                <c:pt idx="67">
                  <c:v>45.315389351832501</c:v>
                </c:pt>
                <c:pt idx="68">
                  <c:v>46.984631039295422</c:v>
                </c:pt>
                <c:pt idx="69">
                  <c:v>48.296291314453413</c:v>
                </c:pt>
                <c:pt idx="70">
                  <c:v>49.240387650610401</c:v>
                </c:pt>
                <c:pt idx="71">
                  <c:v>49.80973490458728</c:v>
                </c:pt>
                <c:pt idx="72">
                  <c:v>50</c:v>
                </c:pt>
              </c:numCache>
            </c:numRef>
          </c:xVal>
          <c:yVal>
            <c:numRef>
              <c:f>RAINBOW!$BJ$56:$BJ$128</c:f>
              <c:numCache>
                <c:formatCode>General</c:formatCode>
                <c:ptCount val="73"/>
                <c:pt idx="0">
                  <c:v>0</c:v>
                </c:pt>
                <c:pt idx="1">
                  <c:v>4.3577871373829087</c:v>
                </c:pt>
                <c:pt idx="2">
                  <c:v>8.6824088833465165</c:v>
                </c:pt>
                <c:pt idx="3">
                  <c:v>12.940952255126037</c:v>
                </c:pt>
                <c:pt idx="4">
                  <c:v>17.101007166283434</c:v>
                </c:pt>
                <c:pt idx="5">
                  <c:v>21.130913087034973</c:v>
                </c:pt>
                <c:pt idx="6">
                  <c:v>24.999999999999996</c:v>
                </c:pt>
                <c:pt idx="7">
                  <c:v>28.678821817552304</c:v>
                </c:pt>
                <c:pt idx="8">
                  <c:v>32.139380484326963</c:v>
                </c:pt>
                <c:pt idx="9">
                  <c:v>35.35533905932737</c:v>
                </c:pt>
                <c:pt idx="10">
                  <c:v>38.302222155948904</c:v>
                </c:pt>
                <c:pt idx="11">
                  <c:v>40.957602214449587</c:v>
                </c:pt>
                <c:pt idx="12">
                  <c:v>43.301270189221931</c:v>
                </c:pt>
                <c:pt idx="13">
                  <c:v>45.315389351832494</c:v>
                </c:pt>
                <c:pt idx="14">
                  <c:v>46.984631039295415</c:v>
                </c:pt>
                <c:pt idx="15">
                  <c:v>48.296291314453413</c:v>
                </c:pt>
                <c:pt idx="16">
                  <c:v>49.240387650610401</c:v>
                </c:pt>
                <c:pt idx="17">
                  <c:v>49.80973490458728</c:v>
                </c:pt>
                <c:pt idx="18">
                  <c:v>50</c:v>
                </c:pt>
                <c:pt idx="19">
                  <c:v>49.80973490458728</c:v>
                </c:pt>
                <c:pt idx="20">
                  <c:v>49.240387650610401</c:v>
                </c:pt>
                <c:pt idx="21">
                  <c:v>48.296291314453413</c:v>
                </c:pt>
                <c:pt idx="22">
                  <c:v>46.984631039295422</c:v>
                </c:pt>
                <c:pt idx="23">
                  <c:v>45.315389351832501</c:v>
                </c:pt>
                <c:pt idx="24">
                  <c:v>43.301270189221938</c:v>
                </c:pt>
                <c:pt idx="25">
                  <c:v>40.957602214449587</c:v>
                </c:pt>
                <c:pt idx="26">
                  <c:v>38.302222155948904</c:v>
                </c:pt>
                <c:pt idx="27">
                  <c:v>35.355339059327378</c:v>
                </c:pt>
                <c:pt idx="28">
                  <c:v>32.139380484326971</c:v>
                </c:pt>
                <c:pt idx="29">
                  <c:v>28.678821817552297</c:v>
                </c:pt>
                <c:pt idx="30">
                  <c:v>24.999999999999996</c:v>
                </c:pt>
                <c:pt idx="31">
                  <c:v>21.130913087034976</c:v>
                </c:pt>
                <c:pt idx="32">
                  <c:v>17.101007166283445</c:v>
                </c:pt>
                <c:pt idx="33">
                  <c:v>12.940952255126051</c:v>
                </c:pt>
                <c:pt idx="34">
                  <c:v>8.682408883346513</c:v>
                </c:pt>
                <c:pt idx="35">
                  <c:v>4.3577871373829096</c:v>
                </c:pt>
                <c:pt idx="36">
                  <c:v>6.1257422745431001E-15</c:v>
                </c:pt>
                <c:pt idx="37">
                  <c:v>-4.3577871373828971</c:v>
                </c:pt>
                <c:pt idx="38">
                  <c:v>-8.6824088833465236</c:v>
                </c:pt>
                <c:pt idx="39">
                  <c:v>-12.940952255126041</c:v>
                </c:pt>
                <c:pt idx="40">
                  <c:v>-17.101007166283434</c:v>
                </c:pt>
                <c:pt idx="41">
                  <c:v>-21.130913087034962</c:v>
                </c:pt>
                <c:pt idx="42">
                  <c:v>-25.000000000000007</c:v>
                </c:pt>
                <c:pt idx="43">
                  <c:v>-28.678821817552308</c:v>
                </c:pt>
                <c:pt idx="44">
                  <c:v>-32.139380484326963</c:v>
                </c:pt>
                <c:pt idx="45">
                  <c:v>-35.35533905932737</c:v>
                </c:pt>
                <c:pt idx="46">
                  <c:v>-38.302222155948897</c:v>
                </c:pt>
                <c:pt idx="47">
                  <c:v>-40.957602214449579</c:v>
                </c:pt>
                <c:pt idx="48">
                  <c:v>-43.301270189221917</c:v>
                </c:pt>
                <c:pt idx="49">
                  <c:v>-45.315389351832501</c:v>
                </c:pt>
                <c:pt idx="50">
                  <c:v>-46.984631039295422</c:v>
                </c:pt>
                <c:pt idx="51">
                  <c:v>-48.296291314453413</c:v>
                </c:pt>
                <c:pt idx="52">
                  <c:v>-49.240387650610401</c:v>
                </c:pt>
                <c:pt idx="53">
                  <c:v>-49.80973490458728</c:v>
                </c:pt>
                <c:pt idx="54">
                  <c:v>-50</c:v>
                </c:pt>
                <c:pt idx="55">
                  <c:v>-49.80973490458728</c:v>
                </c:pt>
                <c:pt idx="56">
                  <c:v>-49.240387650610408</c:v>
                </c:pt>
                <c:pt idx="57">
                  <c:v>-48.29629131445342</c:v>
                </c:pt>
                <c:pt idx="58">
                  <c:v>-46.984631039295415</c:v>
                </c:pt>
                <c:pt idx="59">
                  <c:v>-45.315389351832494</c:v>
                </c:pt>
                <c:pt idx="60">
                  <c:v>-43.301270189221931</c:v>
                </c:pt>
                <c:pt idx="61">
                  <c:v>-40.957602214449587</c:v>
                </c:pt>
                <c:pt idx="62">
                  <c:v>-38.302222155948904</c:v>
                </c:pt>
                <c:pt idx="63">
                  <c:v>-35.355339059327385</c:v>
                </c:pt>
                <c:pt idx="64">
                  <c:v>-32.139380484326978</c:v>
                </c:pt>
                <c:pt idx="65">
                  <c:v>-28.678821817552326</c:v>
                </c:pt>
                <c:pt idx="66">
                  <c:v>-25.000000000000021</c:v>
                </c:pt>
                <c:pt idx="67">
                  <c:v>-21.130913087034962</c:v>
                </c:pt>
                <c:pt idx="68">
                  <c:v>-17.101007166283431</c:v>
                </c:pt>
                <c:pt idx="69">
                  <c:v>-12.940952255126033</c:v>
                </c:pt>
                <c:pt idx="70">
                  <c:v>-8.6824088833465201</c:v>
                </c:pt>
                <c:pt idx="71">
                  <c:v>-4.3577871373829158</c:v>
                </c:pt>
                <c:pt idx="72">
                  <c:v>-1.22514845490862E-14</c:v>
                </c:pt>
              </c:numCache>
            </c:numRef>
          </c:yVal>
          <c:smooth val="0"/>
        </c:ser>
        <c:ser>
          <c:idx val="1"/>
          <c:order val="1"/>
          <c:tx>
            <c:v>r1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reflections'!$P$7:$P$12</c:f>
              <c:numCache>
                <c:formatCode>General</c:formatCode>
                <c:ptCount val="6"/>
                <c:pt idx="0">
                  <c:v>-200</c:v>
                </c:pt>
                <c:pt idx="1">
                  <c:v>-21.918557339453873</c:v>
                </c:pt>
                <c:pt idx="2">
                  <c:v>46.669545534230252</c:v>
                </c:pt>
                <c:pt idx="3">
                  <c:v>13.832659544341148</c:v>
                </c:pt>
                <c:pt idx="4">
                  <c:v>-49.066172071510245</c:v>
                </c:pt>
                <c:pt idx="5">
                  <c:v>-200</c:v>
                </c:pt>
              </c:numCache>
            </c:numRef>
          </c:xVal>
          <c:yVal>
            <c:numRef>
              <c:f>'two reflections'!$Q$7:$Q$12</c:f>
              <c:numCache>
                <c:formatCode>General</c:formatCode>
                <c:ptCount val="6"/>
                <c:pt idx="0">
                  <c:v>44.939702314958353</c:v>
                </c:pt>
                <c:pt idx="1">
                  <c:v>44.939702314958353</c:v>
                </c:pt>
                <c:pt idx="2">
                  <c:v>17.943063273265484</c:v>
                </c:pt>
                <c:pt idx="3">
                  <c:v>-48.048491442815852</c:v>
                </c:pt>
                <c:pt idx="4">
                  <c:v>-9.6182513093050392</c:v>
                </c:pt>
                <c:pt idx="5">
                  <c:v>190.01839769033379</c:v>
                </c:pt>
              </c:numCache>
            </c:numRef>
          </c:yVal>
          <c:smooth val="0"/>
        </c:ser>
        <c:ser>
          <c:idx val="2"/>
          <c:order val="2"/>
          <c:tx>
            <c:v>r2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reflections'!$R$7:$R$12</c:f>
              <c:numCache>
                <c:formatCode>General</c:formatCode>
                <c:ptCount val="6"/>
                <c:pt idx="0">
                  <c:v>-200</c:v>
                </c:pt>
                <c:pt idx="1">
                  <c:v>-22.699524986977341</c:v>
                </c:pt>
                <c:pt idx="2">
                  <c:v>46.640358955294325</c:v>
                </c:pt>
                <c:pt idx="3">
                  <c:v>13.14866643626601</c:v>
                </c:pt>
                <c:pt idx="4">
                  <c:v>-49.332899409016697</c:v>
                </c:pt>
                <c:pt idx="5">
                  <c:v>-200</c:v>
                </c:pt>
              </c:numCache>
            </c:numRef>
          </c:xVal>
          <c:yVal>
            <c:numRef>
              <c:f>'two reflections'!$S$7:$S$12</c:f>
              <c:numCache>
                <c:formatCode>General</c:formatCode>
                <c:ptCount val="6"/>
                <c:pt idx="0">
                  <c:v>44.550326209418387</c:v>
                </c:pt>
                <c:pt idx="1">
                  <c:v>44.550326209418387</c:v>
                </c:pt>
                <c:pt idx="2">
                  <c:v>18.018793425790104</c:v>
                </c:pt>
                <c:pt idx="3">
                  <c:v>-48.240155171265897</c:v>
                </c:pt>
                <c:pt idx="4">
                  <c:v>-8.1403338936336258</c:v>
                </c:pt>
                <c:pt idx="5">
                  <c:v>196.44490296274319</c:v>
                </c:pt>
              </c:numCache>
            </c:numRef>
          </c:yVal>
          <c:smooth val="0"/>
        </c:ser>
        <c:ser>
          <c:idx val="3"/>
          <c:order val="3"/>
          <c:tx>
            <c:v>r3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reflections'!$T$7:$T$12</c:f>
              <c:numCache>
                <c:formatCode>General</c:formatCode>
                <c:ptCount val="6"/>
                <c:pt idx="0">
                  <c:v>-200</c:v>
                </c:pt>
                <c:pt idx="1">
                  <c:v>-23.473578139294542</c:v>
                </c:pt>
                <c:pt idx="2">
                  <c:v>46.618889895399406</c:v>
                </c:pt>
                <c:pt idx="3">
                  <c:v>12.420028426613042</c:v>
                </c:pt>
                <c:pt idx="4">
                  <c:v>-49.563734827454141</c:v>
                </c:pt>
                <c:pt idx="5">
                  <c:v>-200</c:v>
                </c:pt>
              </c:numCache>
            </c:numRef>
          </c:xVal>
          <c:yVal>
            <c:numRef>
              <c:f>'two reflections'!$U$7:$U$12</c:f>
              <c:numCache>
                <c:formatCode>General</c:formatCode>
                <c:ptCount val="6"/>
                <c:pt idx="0">
                  <c:v>44.147379642946341</c:v>
                </c:pt>
                <c:pt idx="1">
                  <c:v>44.147379642946341</c:v>
                </c:pt>
                <c:pt idx="2">
                  <c:v>18.074266372957638</c:v>
                </c:pt>
                <c:pt idx="3">
                  <c:v>-48.4328699736256</c:v>
                </c:pt>
                <c:pt idx="4">
                  <c:v>-6.5906137767137842</c:v>
                </c:pt>
                <c:pt idx="5">
                  <c:v>203.73556365620669</c:v>
                </c:pt>
              </c:numCache>
            </c:numRef>
          </c:yVal>
          <c:smooth val="0"/>
        </c:ser>
        <c:ser>
          <c:idx val="4"/>
          <c:order val="4"/>
          <c:tx>
            <c:v>r4</c:v>
          </c:tx>
          <c:spPr>
            <a:ln>
              <a:solidFill>
                <a:srgbClr val="FF0000">
                  <a:alpha val="99000"/>
                </a:srgbClr>
              </a:solidFill>
            </a:ln>
          </c:spPr>
          <c:marker>
            <c:symbol val="none"/>
          </c:marker>
          <c:xVal>
            <c:numRef>
              <c:f>'two reflections'!$V$7:$V$12</c:f>
              <c:numCache>
                <c:formatCode>General</c:formatCode>
                <c:ptCount val="6"/>
                <c:pt idx="0">
                  <c:v>-200</c:v>
                </c:pt>
                <c:pt idx="1">
                  <c:v>-24.240481012316856</c:v>
                </c:pt>
                <c:pt idx="2">
                  <c:v>46.604971533224152</c:v>
                </c:pt>
                <c:pt idx="3">
                  <c:v>11.64769409683216</c:v>
                </c:pt>
                <c:pt idx="4">
                  <c:v>-49.752209370577873</c:v>
                </c:pt>
                <c:pt idx="5">
                  <c:v>-200</c:v>
                </c:pt>
              </c:numCache>
            </c:numRef>
          </c:xVal>
          <c:yVal>
            <c:numRef>
              <c:f>'two reflections'!$W$7:$W$12</c:f>
              <c:numCache>
                <c:formatCode>General</c:formatCode>
                <c:ptCount val="6"/>
                <c:pt idx="0">
                  <c:v>43.730985356969789</c:v>
                </c:pt>
                <c:pt idx="1">
                  <c:v>43.730985356969789</c:v>
                </c:pt>
                <c:pt idx="2">
                  <c:v>18.110125024067798</c:v>
                </c:pt>
                <c:pt idx="3">
                  <c:v>-48.624389170730169</c:v>
                </c:pt>
                <c:pt idx="4">
                  <c:v>-4.971686106964424</c:v>
                </c:pt>
                <c:pt idx="5">
                  <c:v>211.96058655638143</c:v>
                </c:pt>
              </c:numCache>
            </c:numRef>
          </c:yVal>
          <c:smooth val="0"/>
        </c:ser>
        <c:ser>
          <c:idx val="5"/>
          <c:order val="5"/>
          <c:tx>
            <c:v>r5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reflections'!$X$7:$X$12</c:f>
              <c:numCache>
                <c:formatCode>General</c:formatCode>
                <c:ptCount val="6"/>
                <c:pt idx="0">
                  <c:v>-200</c:v>
                </c:pt>
                <c:pt idx="1">
                  <c:v>-25.000000000000007</c:v>
                </c:pt>
                <c:pt idx="2">
                  <c:v>46.598412818064858</c:v>
                </c:pt>
                <c:pt idx="3">
                  <c:v>10.832649435493639</c:v>
                </c:pt>
                <c:pt idx="4">
                  <c:v>-49.891871389159029</c:v>
                </c:pt>
                <c:pt idx="5">
                  <c:v>-200</c:v>
                </c:pt>
              </c:numCache>
            </c:numRef>
          </c:xVal>
          <c:yVal>
            <c:numRef>
              <c:f>'two reflections'!$Y$7:$Y$12</c:f>
              <c:numCache>
                <c:formatCode>General</c:formatCode>
                <c:ptCount val="6"/>
                <c:pt idx="0">
                  <c:v>43.301270189221931</c:v>
                </c:pt>
                <c:pt idx="1">
                  <c:v>43.301270189221931</c:v>
                </c:pt>
                <c:pt idx="2">
                  <c:v>18.126994313377192</c:v>
                </c:pt>
                <c:pt idx="3">
                  <c:v>-48.812433930379861</c:v>
                </c:pt>
                <c:pt idx="4">
                  <c:v>-3.2865132416612668</c:v>
                </c:pt>
                <c:pt idx="5">
                  <c:v>221.206818060198</c:v>
                </c:pt>
              </c:numCache>
            </c:numRef>
          </c:yVal>
          <c:smooth val="0"/>
        </c:ser>
        <c:ser>
          <c:idx val="6"/>
          <c:order val="6"/>
          <c:tx>
            <c:v>r6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reflections'!$Z$7:$Z$12</c:f>
              <c:numCache>
                <c:formatCode>General</c:formatCode>
                <c:ptCount val="6"/>
                <c:pt idx="0">
                  <c:v>-200</c:v>
                </c:pt>
                <c:pt idx="1">
                  <c:v>-25.751903745502709</c:v>
                </c:pt>
                <c:pt idx="2">
                  <c:v>46.599001460962697</c:v>
                </c:pt>
                <c:pt idx="3">
                  <c:v>9.9759229854890918</c:v>
                </c:pt>
                <c:pt idx="4">
                  <c:v>-49.976326385280984</c:v>
                </c:pt>
                <c:pt idx="5">
                  <c:v>-200</c:v>
                </c:pt>
              </c:numCache>
            </c:numRef>
          </c:xVal>
          <c:yVal>
            <c:numRef>
              <c:f>'two reflections'!$AA$7:$AA$12</c:f>
              <c:numCache>
                <c:formatCode>General</c:formatCode>
                <c:ptCount val="6"/>
                <c:pt idx="0">
                  <c:v>42.858365035105614</c:v>
                </c:pt>
                <c:pt idx="1">
                  <c:v>42.858365035105614</c:v>
                </c:pt>
                <c:pt idx="2">
                  <c:v>18.125481037511705</c:v>
                </c:pt>
                <c:pt idx="3">
                  <c:v>-48.994703393199458</c:v>
                </c:pt>
                <c:pt idx="4">
                  <c:v>-1.5384411044521558</c:v>
                </c:pt>
                <c:pt idx="5">
                  <c:v>231.58140535267478</c:v>
                </c:pt>
              </c:numCache>
            </c:numRef>
          </c:yVal>
          <c:smooth val="0"/>
        </c:ser>
        <c:ser>
          <c:idx val="7"/>
          <c:order val="7"/>
          <c:tx>
            <c:v>r7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reflections'!$AB$7:$AB$12</c:f>
              <c:numCache>
                <c:formatCode>General</c:formatCode>
                <c:ptCount val="6"/>
                <c:pt idx="0">
                  <c:v>-200</c:v>
                </c:pt>
                <c:pt idx="1">
                  <c:v>-26.495963211660246</c:v>
                </c:pt>
                <c:pt idx="2">
                  <c:v>46.606506724175546</c:v>
                </c:pt>
                <c:pt idx="3">
                  <c:v>9.0785905849330124</c:v>
                </c:pt>
                <c:pt idx="4">
                  <c:v>-49.999277525022841</c:v>
                </c:pt>
                <c:pt idx="5">
                  <c:v>-200</c:v>
                </c:pt>
              </c:numCache>
            </c:numRef>
          </c:xVal>
          <c:yVal>
            <c:numRef>
              <c:f>'two reflections'!$AC$7:$AC$12</c:f>
              <c:numCache>
                <c:formatCode>General</c:formatCode>
                <c:ptCount val="6"/>
                <c:pt idx="0">
                  <c:v>42.402404807821299</c:v>
                </c:pt>
                <c:pt idx="1">
                  <c:v>42.402404807821299</c:v>
                </c:pt>
                <c:pt idx="2">
                  <c:v>18.106173835721879</c:v>
                </c:pt>
                <c:pt idx="3">
                  <c:v>-49.16888439848077</c:v>
                </c:pt>
                <c:pt idx="4">
                  <c:v>0.26878797544921806</c:v>
                </c:pt>
                <c:pt idx="5">
                  <c:v>243.21661666138996</c:v>
                </c:pt>
              </c:numCache>
            </c:numRef>
          </c:yVal>
          <c:smooth val="0"/>
        </c:ser>
        <c:ser>
          <c:idx val="9"/>
          <c:order val="8"/>
          <c:tx>
            <c:v>r8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reflections'!$AD$7:$AD$12</c:f>
              <c:numCache>
                <c:formatCode>General</c:formatCode>
                <c:ptCount val="6"/>
                <c:pt idx="0">
                  <c:v>-200</c:v>
                </c:pt>
                <c:pt idx="1">
                  <c:v>-27.231951750751353</c:v>
                </c:pt>
                <c:pt idx="2">
                  <c:v>46.620682011668052</c:v>
                </c:pt>
                <c:pt idx="3">
                  <c:v>8.1417796670367828</c:v>
                </c:pt>
                <c:pt idx="4">
                  <c:v>-49.954566635503468</c:v>
                </c:pt>
                <c:pt idx="5">
                  <c:v>-200</c:v>
                </c:pt>
              </c:numCache>
            </c:numRef>
          </c:xVal>
          <c:yVal>
            <c:numRef>
              <c:f>'two reflections'!$AE$7:$AE$12</c:f>
              <c:numCache>
                <c:formatCode>General</c:formatCode>
                <c:ptCount val="6"/>
                <c:pt idx="0">
                  <c:v>41.933528397271203</c:v>
                </c:pt>
                <c:pt idx="1">
                  <c:v>41.933528397271203</c:v>
                </c:pt>
                <c:pt idx="2">
                  <c:v>18.069643293848685</c:v>
                </c:pt>
                <c:pt idx="3">
                  <c:v>-49.332660822759458</c:v>
                </c:pt>
                <c:pt idx="4">
                  <c:v>2.1310261047306782</c:v>
                </c:pt>
                <c:pt idx="5">
                  <c:v>256.27624503803372</c:v>
                </c:pt>
              </c:numCache>
            </c:numRef>
          </c:yVal>
          <c:smooth val="0"/>
        </c:ser>
        <c:ser>
          <c:idx val="8"/>
          <c:order val="9"/>
          <c:tx>
            <c:v>r9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reflections'!$AF$7:$AF$12</c:f>
              <c:numCache>
                <c:formatCode>General</c:formatCode>
                <c:ptCount val="6"/>
                <c:pt idx="0">
                  <c:v>-200</c:v>
                </c:pt>
                <c:pt idx="1">
                  <c:v>-27.959645173537339</c:v>
                </c:pt>
                <c:pt idx="2">
                  <c:v>46.641267265175948</c:v>
                </c:pt>
                <c:pt idx="3">
                  <c:v>7.1666730921476258</c:v>
                </c:pt>
                <c:pt idx="4">
                  <c:v>-49.836215478616396</c:v>
                </c:pt>
                <c:pt idx="5">
                  <c:v>-200</c:v>
                </c:pt>
              </c:numCache>
            </c:numRef>
          </c:xVal>
          <c:yVal>
            <c:numRef>
              <c:f>'two reflections'!$AG$7:$AG$12</c:f>
              <c:numCache>
                <c:formatCode>General</c:formatCode>
                <c:ptCount val="6"/>
                <c:pt idx="0">
                  <c:v>41.451878627752087</c:v>
                </c:pt>
                <c:pt idx="1">
                  <c:v>41.451878627752087</c:v>
                </c:pt>
                <c:pt idx="2">
                  <c:v>18.016442154277481</c:v>
                </c:pt>
                <c:pt idx="3">
                  <c:v>-49.483722543784914</c:v>
                </c:pt>
                <c:pt idx="4">
                  <c:v>4.0437144766805009</c:v>
                </c:pt>
                <c:pt idx="5">
                  <c:v>270.96421371674768</c:v>
                </c:pt>
              </c:numCache>
            </c:numRef>
          </c:yVal>
          <c:smooth val="0"/>
        </c:ser>
        <c:ser>
          <c:idx val="10"/>
          <c:order val="10"/>
          <c:tx>
            <c:v>r10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reflections'!$AH$7:$AH$12</c:f>
              <c:numCache>
                <c:formatCode>General</c:formatCode>
                <c:ptCount val="6"/>
                <c:pt idx="0">
                  <c:v>-200</c:v>
                </c:pt>
                <c:pt idx="1">
                  <c:v>-28.678821817552308</c:v>
                </c:pt>
                <c:pt idx="2">
                  <c:v>46.667991171920356</c:v>
                </c:pt>
                <c:pt idx="3">
                  <c:v>6.154512492267326</c:v>
                </c:pt>
                <c:pt idx="4">
                  <c:v>-49.63846707287513</c:v>
                </c:pt>
                <c:pt idx="5">
                  <c:v>-200</c:v>
                </c:pt>
              </c:numCache>
            </c:numRef>
          </c:xVal>
          <c:yVal>
            <c:numRef>
              <c:f>'two reflections'!$AI$7:$AI$12</c:f>
              <c:numCache>
                <c:formatCode>General</c:formatCode>
                <c:ptCount val="6"/>
                <c:pt idx="0">
                  <c:v>40.957602214449587</c:v>
                </c:pt>
                <c:pt idx="1">
                  <c:v>40.957602214449587</c:v>
                </c:pt>
                <c:pt idx="2">
                  <c:v>17.947105615601757</c:v>
                </c:pt>
                <c:pt idx="3">
                  <c:v>-49.619774042034145</c:v>
                </c:pt>
                <c:pt idx="4">
                  <c:v>6.001881926120455</c:v>
                </c:pt>
                <c:pt idx="5">
                  <c:v>287.53629841262295</c:v>
                </c:pt>
              </c:numCache>
            </c:numRef>
          </c:yVal>
          <c:smooth val="0"/>
        </c:ser>
        <c:ser>
          <c:idx val="11"/>
          <c:order val="11"/>
          <c:tx>
            <c:v>r11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reflections'!$AJ$7:$AJ$12</c:f>
              <c:numCache>
                <c:formatCode>General</c:formatCode>
                <c:ptCount val="6"/>
                <c:pt idx="0">
                  <c:v>-200</c:v>
                </c:pt>
                <c:pt idx="1">
                  <c:v>-29.389262614623657</c:v>
                </c:pt>
                <c:pt idx="2">
                  <c:v>46.700573191240707</c:v>
                </c:pt>
                <c:pt idx="3">
                  <c:v>5.1066011147078827</c:v>
                </c:pt>
                <c:pt idx="4">
                  <c:v>-49.355826816838658</c:v>
                </c:pt>
                <c:pt idx="5">
                  <c:v>-200</c:v>
                </c:pt>
              </c:numCache>
            </c:numRef>
          </c:xVal>
          <c:yVal>
            <c:numRef>
              <c:f>'two reflections'!$AK$7:$AK$12</c:f>
              <c:numCache>
                <c:formatCode>General</c:formatCode>
                <c:ptCount val="6"/>
                <c:pt idx="0">
                  <c:v>40.450849718747371</c:v>
                </c:pt>
                <c:pt idx="1">
                  <c:v>40.450849718747371</c:v>
                </c:pt>
                <c:pt idx="2">
                  <c:v>17.862151707159178</c:v>
                </c:pt>
                <c:pt idx="3">
                  <c:v>-49.738542651099706</c:v>
                </c:pt>
                <c:pt idx="4">
                  <c:v>8.0001474502805614</c:v>
                </c:pt>
                <c:pt idx="5">
                  <c:v>306.3163490134321</c:v>
                </c:pt>
              </c:numCache>
            </c:numRef>
          </c:yVal>
          <c:smooth val="0"/>
        </c:ser>
        <c:ser>
          <c:idx val="12"/>
          <c:order val="12"/>
          <c:tx>
            <c:v>r12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reflections'!$AL$7:$AL$12</c:f>
              <c:numCache>
                <c:formatCode>General</c:formatCode>
                <c:ptCount val="6"/>
                <c:pt idx="0">
                  <c:v>-200</c:v>
                </c:pt>
                <c:pt idx="1">
                  <c:v>-30.090751157602419</c:v>
                </c:pt>
                <c:pt idx="2">
                  <c:v>46.738725408313435</c:v>
                </c:pt>
                <c:pt idx="3">
                  <c:v>4.0243061571525178</c:v>
                </c:pt>
                <c:pt idx="4">
                  <c:v>-48.983103152763633</c:v>
                </c:pt>
                <c:pt idx="5">
                  <c:v>-200</c:v>
                </c:pt>
              </c:numCache>
            </c:numRef>
          </c:xVal>
          <c:yVal>
            <c:numRef>
              <c:f>'two reflections'!$AM$7:$AM$12</c:f>
              <c:numCache>
                <c:formatCode>General</c:formatCode>
                <c:ptCount val="6"/>
                <c:pt idx="0">
                  <c:v>39.931775502364644</c:v>
                </c:pt>
                <c:pt idx="1">
                  <c:v>39.931775502364644</c:v>
                </c:pt>
                <c:pt idx="2">
                  <c:v>17.762081725019623</c:v>
                </c:pt>
                <c:pt idx="3">
                  <c:v>-49.837786467232917</c:v>
                </c:pt>
                <c:pt idx="4">
                  <c:v>10.032726724361471</c:v>
                </c:pt>
                <c:pt idx="5">
                  <c:v>327.71914537208613</c:v>
                </c:pt>
              </c:numCache>
            </c:numRef>
          </c:yVal>
          <c:smooth val="0"/>
        </c:ser>
        <c:ser>
          <c:idx val="13"/>
          <c:order val="13"/>
          <c:tx>
            <c:v>r13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reflections'!$AN$7:$AN$12</c:f>
              <c:numCache>
                <c:formatCode>General</c:formatCode>
                <c:ptCount val="6"/>
                <c:pt idx="0">
                  <c:v>-200</c:v>
                </c:pt>
                <c:pt idx="1">
                  <c:v>-30.783073766282914</c:v>
                </c:pt>
                <c:pt idx="2">
                  <c:v>46.782154223764202</c:v>
                </c:pt>
                <c:pt idx="3">
                  <c:v>2.9090605913117336</c:v>
                </c:pt>
                <c:pt idx="4">
                  <c:v>-48.515447497544699</c:v>
                </c:pt>
                <c:pt idx="5">
                  <c:v>-200</c:v>
                </c:pt>
              </c:numCache>
            </c:numRef>
          </c:xVal>
          <c:yVal>
            <c:numRef>
              <c:f>'two reflections'!$AO$7:$AO$12</c:f>
              <c:numCache>
                <c:formatCode>General</c:formatCode>
                <c:ptCount val="6"/>
                <c:pt idx="0">
                  <c:v>39.4005376803361</c:v>
                </c:pt>
                <c:pt idx="1">
                  <c:v>39.4005376803361</c:v>
                </c:pt>
                <c:pt idx="2">
                  <c:v>17.647380717373931</c:v>
                </c:pt>
                <c:pt idx="3">
                  <c:v>-49.915301927125284</c:v>
                </c:pt>
                <c:pt idx="4">
                  <c:v>12.093442607999739</c:v>
                </c:pt>
                <c:pt idx="5">
                  <c:v>352.28326717587413</c:v>
                </c:pt>
              </c:numCache>
            </c:numRef>
          </c:yVal>
          <c:smooth val="0"/>
        </c:ser>
        <c:ser>
          <c:idx val="14"/>
          <c:order val="14"/>
          <c:tx>
            <c:v>r14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reflections'!$AP$7:$AP$12</c:f>
              <c:numCache>
                <c:formatCode>General</c:formatCode>
                <c:ptCount val="6"/>
                <c:pt idx="0">
                  <c:v>-200</c:v>
                </c:pt>
                <c:pt idx="1">
                  <c:v>-31.466019552491876</c:v>
                </c:pt>
                <c:pt idx="2">
                  <c:v>46.83056188839786</c:v>
                </c:pt>
                <c:pt idx="3">
                  <c:v>1.7623644766519644</c:v>
                </c:pt>
                <c:pt idx="4">
                  <c:v>-47.94839315971884</c:v>
                </c:pt>
                <c:pt idx="5">
                  <c:v>-200</c:v>
                </c:pt>
              </c:numCache>
            </c:numRef>
          </c:xVal>
          <c:yVal>
            <c:numRef>
              <c:f>'two reflections'!$AQ$7:$AQ$12</c:f>
              <c:numCache>
                <c:formatCode>General</c:formatCode>
                <c:ptCount val="6"/>
                <c:pt idx="0">
                  <c:v>38.857298072848543</c:v>
                </c:pt>
                <c:pt idx="1">
                  <c:v>38.857298072848543</c:v>
                </c:pt>
                <c:pt idx="2">
                  <c:v>17.518518008579882</c:v>
                </c:pt>
                <c:pt idx="3">
                  <c:v>-49.968931061725094</c:v>
                </c:pt>
                <c:pt idx="4">
                  <c:v>14.17573960684339</c:v>
                </c:pt>
                <c:pt idx="5">
                  <c:v>380.71948366077987</c:v>
                </c:pt>
              </c:numCache>
            </c:numRef>
          </c:yVal>
          <c:smooth val="0"/>
        </c:ser>
        <c:ser>
          <c:idx val="15"/>
          <c:order val="15"/>
          <c:tx>
            <c:v>r15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reflections'!$AR$7:$AR$12</c:f>
              <c:numCache>
                <c:formatCode>General</c:formatCode>
                <c:ptCount val="6"/>
                <c:pt idx="0">
                  <c:v>-200</c:v>
                </c:pt>
                <c:pt idx="1">
                  <c:v>-32.139380484326971</c:v>
                </c:pt>
                <c:pt idx="2">
                  <c:v>46.883647892493762</c:v>
                </c:pt>
                <c:pt idx="3">
                  <c:v>0.58578576938675464</c:v>
                </c:pt>
                <c:pt idx="4">
                  <c:v>-47.277892956346143</c:v>
                </c:pt>
                <c:pt idx="5">
                  <c:v>-200</c:v>
                </c:pt>
              </c:numCache>
            </c:numRef>
          </c:xVal>
          <c:yVal>
            <c:numRef>
              <c:f>'two reflections'!$AS$7:$AS$12</c:f>
              <c:numCache>
                <c:formatCode>General</c:formatCode>
                <c:ptCount val="6"/>
                <c:pt idx="0">
                  <c:v>38.302222155948904</c:v>
                </c:pt>
                <c:pt idx="1">
                  <c:v>38.302222155948904</c:v>
                </c:pt>
                <c:pt idx="2">
                  <c:v>17.375947752357717</c:v>
                </c:pt>
                <c:pt idx="3">
                  <c:v>-49.996568432567287</c:v>
                </c:pt>
                <c:pt idx="4">
                  <c:v>16.272702222073494</c:v>
                </c:pt>
                <c:pt idx="5">
                  <c:v>413.98392630762447</c:v>
                </c:pt>
              </c:numCache>
            </c:numRef>
          </c:yVal>
          <c:smooth val="0"/>
        </c:ser>
        <c:ser>
          <c:idx val="16"/>
          <c:order val="16"/>
          <c:tx>
            <c:v>r16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reflections'!$AT$7:$AT$12</c:f>
              <c:numCache>
                <c:formatCode>General</c:formatCode>
                <c:ptCount val="6"/>
                <c:pt idx="0">
                  <c:v>-200</c:v>
                </c:pt>
                <c:pt idx="1">
                  <c:v>-32.802951449525366</c:v>
                </c:pt>
                <c:pt idx="2">
                  <c:v>46.941110219176899</c:v>
                </c:pt>
                <c:pt idx="3">
                  <c:v>-0.61903936489495515</c:v>
                </c:pt>
                <c:pt idx="4">
                  <c:v>-46.500355241915372</c:v>
                </c:pt>
                <c:pt idx="5">
                  <c:v>-200</c:v>
                </c:pt>
              </c:numCache>
            </c:numRef>
          </c:xVal>
          <c:yVal>
            <c:numRef>
              <c:f>'two reflections'!$AU$7:$AU$12</c:f>
              <c:numCache>
                <c:formatCode>General</c:formatCode>
                <c:ptCount val="6"/>
                <c:pt idx="0">
                  <c:v>37.735479011138601</c:v>
                </c:pt>
                <c:pt idx="1">
                  <c:v>37.735479011138601</c:v>
                </c:pt>
                <c:pt idx="2">
                  <c:v>17.220109505780925</c:v>
                </c:pt>
                <c:pt idx="3">
                  <c:v>-49.996167755786146</c:v>
                </c:pt>
                <c:pt idx="4">
                  <c:v>18.377077090105303</c:v>
                </c:pt>
                <c:pt idx="5">
                  <c:v>453.39221797268635</c:v>
                </c:pt>
              </c:numCache>
            </c:numRef>
          </c:yVal>
          <c:smooth val="0"/>
        </c:ser>
        <c:ser>
          <c:idx val="17"/>
          <c:order val="17"/>
          <c:tx>
            <c:v>r17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reflections'!$AV$7:$AV$12</c:f>
              <c:numCache>
                <c:formatCode>General</c:formatCode>
                <c:ptCount val="6"/>
                <c:pt idx="0">
                  <c:v>-200</c:v>
                </c:pt>
                <c:pt idx="1">
                  <c:v>-33.456530317942914</c:v>
                </c:pt>
                <c:pt idx="2">
                  <c:v>47.002646471303329</c:v>
                </c:pt>
                <c:pt idx="3">
                  <c:v>-1.8504067238650064</c:v>
                </c:pt>
                <c:pt idx="4">
                  <c:v>-45.612678063011089</c:v>
                </c:pt>
                <c:pt idx="5">
                  <c:v>-200</c:v>
                </c:pt>
              </c:numCache>
            </c:numRef>
          </c:xVal>
          <c:yVal>
            <c:numRef>
              <c:f>'two reflections'!$AW$7:$AW$12</c:f>
              <c:numCache>
                <c:formatCode>General</c:formatCode>
                <c:ptCount val="6"/>
                <c:pt idx="0">
                  <c:v>37.157241273869715</c:v>
                </c:pt>
                <c:pt idx="1">
                  <c:v>37.157241273869715</c:v>
                </c:pt>
                <c:pt idx="2">
                  <c:v>17.051428816778873</c:v>
                </c:pt>
                <c:pt idx="3">
                  <c:v>-49.965748217716857</c:v>
                </c:pt>
                <c:pt idx="4">
                  <c:v>20.481298784991797</c:v>
                </c:pt>
                <c:pt idx="5">
                  <c:v>500.80403741028732</c:v>
                </c:pt>
              </c:numCache>
            </c:numRef>
          </c:yVal>
          <c:smooth val="0"/>
        </c:ser>
        <c:ser>
          <c:idx val="18"/>
          <c:order val="18"/>
          <c:tx>
            <c:v>r18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reflections'!$AX$7:$AX$12</c:f>
              <c:numCache>
                <c:formatCode>General</c:formatCode>
                <c:ptCount val="6"/>
                <c:pt idx="0">
                  <c:v>-200</c:v>
                </c:pt>
                <c:pt idx="1">
                  <c:v>-34.099918003124927</c:v>
                </c:pt>
                <c:pt idx="2">
                  <c:v>47.06795488111829</c:v>
                </c:pt>
                <c:pt idx="3">
                  <c:v>-3.1065447129556367</c:v>
                </c:pt>
                <c:pt idx="4">
                  <c:v>-44.612281157236382</c:v>
                </c:pt>
                <c:pt idx="5">
                  <c:v>-200</c:v>
                </c:pt>
              </c:numCache>
            </c:numRef>
          </c:xVal>
          <c:yVal>
            <c:numRef>
              <c:f>'two reflections'!$AY$7:$AY$12</c:f>
              <c:numCache>
                <c:formatCode>General</c:formatCode>
                <c:ptCount val="6"/>
                <c:pt idx="0">
                  <c:v>36.567685080958526</c:v>
                </c:pt>
                <c:pt idx="1">
                  <c:v>36.567685080958526</c:v>
                </c:pt>
                <c:pt idx="2">
                  <c:v>16.870317818850154</c:v>
                </c:pt>
                <c:pt idx="3">
                  <c:v>-49.903400484800706</c:v>
                </c:pt>
                <c:pt idx="4">
                  <c:v>22.577519127390669</c:v>
                </c:pt>
                <c:pt idx="5">
                  <c:v>558.93462884423707</c:v>
                </c:pt>
              </c:numCache>
            </c:numRef>
          </c:yVal>
          <c:smooth val="0"/>
        </c:ser>
        <c:ser>
          <c:idx val="19"/>
          <c:order val="19"/>
          <c:tx>
            <c:v>r19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'two reflections'!$AZ$7:$AZ$12</c:f>
              <c:numCache>
                <c:formatCode>General</c:formatCode>
                <c:ptCount val="6"/>
                <c:pt idx="0">
                  <c:v>-200</c:v>
                </c:pt>
                <c:pt idx="1">
                  <c:v>-34.732918522949859</c:v>
                </c:pt>
                <c:pt idx="2">
                  <c:v>47.136735211678413</c:v>
                </c:pt>
                <c:pt idx="3">
                  <c:v>-4.3856154463789894</c:v>
                </c:pt>
                <c:pt idx="4">
                  <c:v>-43.497135522706209</c:v>
                </c:pt>
                <c:pt idx="5">
                  <c:v>-200</c:v>
                </c:pt>
              </c:numCache>
            </c:numRef>
          </c:xVal>
          <c:yVal>
            <c:numRef>
              <c:f>'two reflections'!$BA$7:$BA$12</c:f>
              <c:numCache>
                <c:formatCode>General</c:formatCode>
                <c:ptCount val="6"/>
                <c:pt idx="0">
                  <c:v>35.966990016932556</c:v>
                </c:pt>
                <c:pt idx="1">
                  <c:v>35.966990016932556</c:v>
                </c:pt>
                <c:pt idx="2">
                  <c:v>16.677175827582946</c:v>
                </c:pt>
                <c:pt idx="3">
                  <c:v>-49.80729240941011</c:v>
                </c:pt>
                <c:pt idx="4">
                  <c:v>24.657639816481428</c:v>
                </c:pt>
                <c:pt idx="5">
                  <c:v>631.90829006783349</c:v>
                </c:pt>
              </c:numCache>
            </c:numRef>
          </c:yVal>
          <c:smooth val="0"/>
        </c:ser>
        <c:ser>
          <c:idx val="20"/>
          <c:order val="20"/>
          <c:tx>
            <c:v>al farisi</c:v>
          </c:tx>
          <c:spPr>
            <a:ln w="34925"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xVal>
            <c:numRef>
              <c:f>'two reflections'!$L$9:$L$14</c:f>
              <c:numCache>
                <c:formatCode>General</c:formatCode>
                <c:ptCount val="6"/>
                <c:pt idx="0">
                  <c:v>-200</c:v>
                </c:pt>
                <c:pt idx="1">
                  <c:v>-25.313040117694293</c:v>
                </c:pt>
                <c:pt idx="2">
                  <c:v>46.597802326444622</c:v>
                </c:pt>
                <c:pt idx="3">
                  <c:v>10.482036267963716</c:v>
                </c:pt>
                <c:pt idx="4">
                  <c:v>-49.933992285664239</c:v>
                </c:pt>
                <c:pt idx="5">
                  <c:v>-200</c:v>
                </c:pt>
              </c:numCache>
            </c:numRef>
          </c:xVal>
          <c:yVal>
            <c:numRef>
              <c:f>'two reflections'!$M$9:$M$14</c:f>
              <c:numCache>
                <c:formatCode>General</c:formatCode>
                <c:ptCount val="6"/>
                <c:pt idx="0">
                  <c:v>43.119021324700768</c:v>
                </c:pt>
                <c:pt idx="1">
                  <c:v>43.119021324700768</c:v>
                </c:pt>
                <c:pt idx="2">
                  <c:v>18.128563604036373</c:v>
                </c:pt>
                <c:pt idx="3">
                  <c:v>-48.888924263856467</c:v>
                </c:pt>
                <c:pt idx="4">
                  <c:v>-2.5683485774372126</c:v>
                </c:pt>
                <c:pt idx="5">
                  <c:v>225.36921480393536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416832"/>
        <c:axId val="131418368"/>
      </c:scatterChart>
      <c:valAx>
        <c:axId val="13141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1418368"/>
        <c:crosses val="autoZero"/>
        <c:crossBetween val="midCat"/>
      </c:valAx>
      <c:valAx>
        <c:axId val="131418368"/>
        <c:scaling>
          <c:orientation val="minMax"/>
          <c:max val="100"/>
          <c:min val="-15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1416832"/>
        <c:crosses val="autoZero"/>
        <c:crossBetween val="midCat"/>
      </c:valAx>
      <c:spPr>
        <a:noFill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000000000000003E-2"/>
          <c:y val="4.6770924467774859E-2"/>
          <c:w val="0.90469541576279611"/>
          <c:h val="0.72232670953101874"/>
        </c:manualLayout>
      </c:layout>
      <c:scatterChart>
        <c:scatterStyle val="lineMarker"/>
        <c:varyColors val="0"/>
        <c:ser>
          <c:idx val="20"/>
          <c:order val="21"/>
          <c:marker>
            <c:symbol val="none"/>
          </c:marker>
          <c:xVal>
            <c:numRef>
              <c:f>RAINBOW!$BI$56:$BI$128</c:f>
              <c:numCache>
                <c:formatCode>General</c:formatCode>
                <c:ptCount val="73"/>
                <c:pt idx="0">
                  <c:v>50</c:v>
                </c:pt>
                <c:pt idx="1">
                  <c:v>49.80973490458728</c:v>
                </c:pt>
                <c:pt idx="2">
                  <c:v>49.240387650610401</c:v>
                </c:pt>
                <c:pt idx="3">
                  <c:v>48.296291314453413</c:v>
                </c:pt>
                <c:pt idx="4">
                  <c:v>46.984631039295422</c:v>
                </c:pt>
                <c:pt idx="5">
                  <c:v>45.315389351832494</c:v>
                </c:pt>
                <c:pt idx="6">
                  <c:v>43.301270189221938</c:v>
                </c:pt>
                <c:pt idx="7">
                  <c:v>40.957602214449587</c:v>
                </c:pt>
                <c:pt idx="8">
                  <c:v>38.302222155948904</c:v>
                </c:pt>
                <c:pt idx="9">
                  <c:v>35.355339059327378</c:v>
                </c:pt>
                <c:pt idx="10">
                  <c:v>32.139380484326971</c:v>
                </c:pt>
                <c:pt idx="11">
                  <c:v>28.678821817552308</c:v>
                </c:pt>
                <c:pt idx="12">
                  <c:v>25.000000000000007</c:v>
                </c:pt>
                <c:pt idx="13">
                  <c:v>21.130913087034973</c:v>
                </c:pt>
                <c:pt idx="14">
                  <c:v>17.101007166283441</c:v>
                </c:pt>
                <c:pt idx="15">
                  <c:v>12.940952255126037</c:v>
                </c:pt>
                <c:pt idx="16">
                  <c:v>8.6824088833465201</c:v>
                </c:pt>
                <c:pt idx="17">
                  <c:v>4.3577871373829069</c:v>
                </c:pt>
                <c:pt idx="18">
                  <c:v>3.06287113727155E-15</c:v>
                </c:pt>
                <c:pt idx="19">
                  <c:v>-4.3577871373829113</c:v>
                </c:pt>
                <c:pt idx="20">
                  <c:v>-8.6824088833465147</c:v>
                </c:pt>
                <c:pt idx="21">
                  <c:v>-12.940952255126042</c:v>
                </c:pt>
                <c:pt idx="22">
                  <c:v>-17.101007166283434</c:v>
                </c:pt>
                <c:pt idx="23">
                  <c:v>-21.130913087034966</c:v>
                </c:pt>
                <c:pt idx="24">
                  <c:v>-24.999999999999989</c:v>
                </c:pt>
                <c:pt idx="25">
                  <c:v>-28.678821817552308</c:v>
                </c:pt>
                <c:pt idx="26">
                  <c:v>-32.139380484326971</c:v>
                </c:pt>
                <c:pt idx="27">
                  <c:v>-35.35533905932737</c:v>
                </c:pt>
                <c:pt idx="28">
                  <c:v>-38.302222155948897</c:v>
                </c:pt>
                <c:pt idx="29">
                  <c:v>-40.957602214449594</c:v>
                </c:pt>
                <c:pt idx="30">
                  <c:v>-43.301270189221938</c:v>
                </c:pt>
                <c:pt idx="31">
                  <c:v>-45.315389351832494</c:v>
                </c:pt>
                <c:pt idx="32">
                  <c:v>-46.984631039295415</c:v>
                </c:pt>
                <c:pt idx="33">
                  <c:v>-48.296291314453413</c:v>
                </c:pt>
                <c:pt idx="34">
                  <c:v>-49.240387650610401</c:v>
                </c:pt>
                <c:pt idx="35">
                  <c:v>-49.80973490458728</c:v>
                </c:pt>
                <c:pt idx="36">
                  <c:v>-50</c:v>
                </c:pt>
                <c:pt idx="37">
                  <c:v>-49.80973490458728</c:v>
                </c:pt>
                <c:pt idx="38">
                  <c:v>-49.240387650610401</c:v>
                </c:pt>
                <c:pt idx="39">
                  <c:v>-48.296291314453413</c:v>
                </c:pt>
                <c:pt idx="40">
                  <c:v>-46.984631039295422</c:v>
                </c:pt>
                <c:pt idx="41">
                  <c:v>-45.315389351832501</c:v>
                </c:pt>
                <c:pt idx="42">
                  <c:v>-43.301270189221931</c:v>
                </c:pt>
                <c:pt idx="43">
                  <c:v>-40.957602214449587</c:v>
                </c:pt>
                <c:pt idx="44">
                  <c:v>-38.302222155948904</c:v>
                </c:pt>
                <c:pt idx="45">
                  <c:v>-35.355339059327385</c:v>
                </c:pt>
                <c:pt idx="46">
                  <c:v>-32.139380484326971</c:v>
                </c:pt>
                <c:pt idx="47">
                  <c:v>-28.678821817552318</c:v>
                </c:pt>
                <c:pt idx="48">
                  <c:v>-25.000000000000021</c:v>
                </c:pt>
                <c:pt idx="49">
                  <c:v>-21.130913087034958</c:v>
                </c:pt>
                <c:pt idx="50">
                  <c:v>-17.101007166283427</c:v>
                </c:pt>
                <c:pt idx="51">
                  <c:v>-12.940952255126032</c:v>
                </c:pt>
                <c:pt idx="52">
                  <c:v>-8.6824088833465165</c:v>
                </c:pt>
                <c:pt idx="53">
                  <c:v>-4.3577871373829122</c:v>
                </c:pt>
                <c:pt idx="54">
                  <c:v>-9.1886134118146501E-15</c:v>
                </c:pt>
                <c:pt idx="55">
                  <c:v>4.3577871373828945</c:v>
                </c:pt>
                <c:pt idx="56">
                  <c:v>8.6824088833464987</c:v>
                </c:pt>
                <c:pt idx="57">
                  <c:v>12.940952255126014</c:v>
                </c:pt>
                <c:pt idx="58">
                  <c:v>17.101007166283448</c:v>
                </c:pt>
                <c:pt idx="59">
                  <c:v>21.13091308703498</c:v>
                </c:pt>
                <c:pt idx="60">
                  <c:v>25.000000000000007</c:v>
                </c:pt>
                <c:pt idx="61">
                  <c:v>28.678821817552304</c:v>
                </c:pt>
                <c:pt idx="62">
                  <c:v>32.139380484326963</c:v>
                </c:pt>
                <c:pt idx="63">
                  <c:v>35.35533905932737</c:v>
                </c:pt>
                <c:pt idx="64">
                  <c:v>38.30222215594889</c:v>
                </c:pt>
                <c:pt idx="65">
                  <c:v>40.957602214449579</c:v>
                </c:pt>
                <c:pt idx="66">
                  <c:v>43.301270189221917</c:v>
                </c:pt>
                <c:pt idx="67">
                  <c:v>45.315389351832501</c:v>
                </c:pt>
                <c:pt idx="68">
                  <c:v>46.984631039295422</c:v>
                </c:pt>
                <c:pt idx="69">
                  <c:v>48.296291314453413</c:v>
                </c:pt>
                <c:pt idx="70">
                  <c:v>49.240387650610401</c:v>
                </c:pt>
                <c:pt idx="71">
                  <c:v>49.80973490458728</c:v>
                </c:pt>
                <c:pt idx="72">
                  <c:v>50</c:v>
                </c:pt>
              </c:numCache>
            </c:numRef>
          </c:xVal>
          <c:yVal>
            <c:numRef>
              <c:f>RAINBOW!$BJ$56:$BJ$128</c:f>
              <c:numCache>
                <c:formatCode>General</c:formatCode>
                <c:ptCount val="73"/>
                <c:pt idx="0">
                  <c:v>0</c:v>
                </c:pt>
                <c:pt idx="1">
                  <c:v>4.3577871373829087</c:v>
                </c:pt>
                <c:pt idx="2">
                  <c:v>8.6824088833465165</c:v>
                </c:pt>
                <c:pt idx="3">
                  <c:v>12.940952255126037</c:v>
                </c:pt>
                <c:pt idx="4">
                  <c:v>17.101007166283434</c:v>
                </c:pt>
                <c:pt idx="5">
                  <c:v>21.130913087034973</c:v>
                </c:pt>
                <c:pt idx="6">
                  <c:v>24.999999999999996</c:v>
                </c:pt>
                <c:pt idx="7">
                  <c:v>28.678821817552304</c:v>
                </c:pt>
                <c:pt idx="8">
                  <c:v>32.139380484326963</c:v>
                </c:pt>
                <c:pt idx="9">
                  <c:v>35.35533905932737</c:v>
                </c:pt>
                <c:pt idx="10">
                  <c:v>38.302222155948904</c:v>
                </c:pt>
                <c:pt idx="11">
                  <c:v>40.957602214449587</c:v>
                </c:pt>
                <c:pt idx="12">
                  <c:v>43.301270189221931</c:v>
                </c:pt>
                <c:pt idx="13">
                  <c:v>45.315389351832494</c:v>
                </c:pt>
                <c:pt idx="14">
                  <c:v>46.984631039295415</c:v>
                </c:pt>
                <c:pt idx="15">
                  <c:v>48.296291314453413</c:v>
                </c:pt>
                <c:pt idx="16">
                  <c:v>49.240387650610401</c:v>
                </c:pt>
                <c:pt idx="17">
                  <c:v>49.80973490458728</c:v>
                </c:pt>
                <c:pt idx="18">
                  <c:v>50</c:v>
                </c:pt>
                <c:pt idx="19">
                  <c:v>49.80973490458728</c:v>
                </c:pt>
                <c:pt idx="20">
                  <c:v>49.240387650610401</c:v>
                </c:pt>
                <c:pt idx="21">
                  <c:v>48.296291314453413</c:v>
                </c:pt>
                <c:pt idx="22">
                  <c:v>46.984631039295422</c:v>
                </c:pt>
                <c:pt idx="23">
                  <c:v>45.315389351832501</c:v>
                </c:pt>
                <c:pt idx="24">
                  <c:v>43.301270189221938</c:v>
                </c:pt>
                <c:pt idx="25">
                  <c:v>40.957602214449587</c:v>
                </c:pt>
                <c:pt idx="26">
                  <c:v>38.302222155948904</c:v>
                </c:pt>
                <c:pt idx="27">
                  <c:v>35.355339059327378</c:v>
                </c:pt>
                <c:pt idx="28">
                  <c:v>32.139380484326971</c:v>
                </c:pt>
                <c:pt idx="29">
                  <c:v>28.678821817552297</c:v>
                </c:pt>
                <c:pt idx="30">
                  <c:v>24.999999999999996</c:v>
                </c:pt>
                <c:pt idx="31">
                  <c:v>21.130913087034976</c:v>
                </c:pt>
                <c:pt idx="32">
                  <c:v>17.101007166283445</c:v>
                </c:pt>
                <c:pt idx="33">
                  <c:v>12.940952255126051</c:v>
                </c:pt>
                <c:pt idx="34">
                  <c:v>8.682408883346513</c:v>
                </c:pt>
                <c:pt idx="35">
                  <c:v>4.3577871373829096</c:v>
                </c:pt>
                <c:pt idx="36">
                  <c:v>6.1257422745431001E-15</c:v>
                </c:pt>
                <c:pt idx="37">
                  <c:v>-4.3577871373828971</c:v>
                </c:pt>
                <c:pt idx="38">
                  <c:v>-8.6824088833465236</c:v>
                </c:pt>
                <c:pt idx="39">
                  <c:v>-12.940952255126041</c:v>
                </c:pt>
                <c:pt idx="40">
                  <c:v>-17.101007166283434</c:v>
                </c:pt>
                <c:pt idx="41">
                  <c:v>-21.130913087034962</c:v>
                </c:pt>
                <c:pt idx="42">
                  <c:v>-25.000000000000007</c:v>
                </c:pt>
                <c:pt idx="43">
                  <c:v>-28.678821817552308</c:v>
                </c:pt>
                <c:pt idx="44">
                  <c:v>-32.139380484326963</c:v>
                </c:pt>
                <c:pt idx="45">
                  <c:v>-35.35533905932737</c:v>
                </c:pt>
                <c:pt idx="46">
                  <c:v>-38.302222155948897</c:v>
                </c:pt>
                <c:pt idx="47">
                  <c:v>-40.957602214449579</c:v>
                </c:pt>
                <c:pt idx="48">
                  <c:v>-43.301270189221917</c:v>
                </c:pt>
                <c:pt idx="49">
                  <c:v>-45.315389351832501</c:v>
                </c:pt>
                <c:pt idx="50">
                  <c:v>-46.984631039295422</c:v>
                </c:pt>
                <c:pt idx="51">
                  <c:v>-48.296291314453413</c:v>
                </c:pt>
                <c:pt idx="52">
                  <c:v>-49.240387650610401</c:v>
                </c:pt>
                <c:pt idx="53">
                  <c:v>-49.80973490458728</c:v>
                </c:pt>
                <c:pt idx="54">
                  <c:v>-50</c:v>
                </c:pt>
                <c:pt idx="55">
                  <c:v>-49.80973490458728</c:v>
                </c:pt>
                <c:pt idx="56">
                  <c:v>-49.240387650610408</c:v>
                </c:pt>
                <c:pt idx="57">
                  <c:v>-48.29629131445342</c:v>
                </c:pt>
                <c:pt idx="58">
                  <c:v>-46.984631039295415</c:v>
                </c:pt>
                <c:pt idx="59">
                  <c:v>-45.315389351832494</c:v>
                </c:pt>
                <c:pt idx="60">
                  <c:v>-43.301270189221931</c:v>
                </c:pt>
                <c:pt idx="61">
                  <c:v>-40.957602214449587</c:v>
                </c:pt>
                <c:pt idx="62">
                  <c:v>-38.302222155948904</c:v>
                </c:pt>
                <c:pt idx="63">
                  <c:v>-35.355339059327385</c:v>
                </c:pt>
                <c:pt idx="64">
                  <c:v>-32.139380484326978</c:v>
                </c:pt>
                <c:pt idx="65">
                  <c:v>-28.678821817552326</c:v>
                </c:pt>
                <c:pt idx="66">
                  <c:v>-25.000000000000021</c:v>
                </c:pt>
                <c:pt idx="67">
                  <c:v>-21.130913087034962</c:v>
                </c:pt>
                <c:pt idx="68">
                  <c:v>-17.101007166283431</c:v>
                </c:pt>
                <c:pt idx="69">
                  <c:v>-12.940952255126033</c:v>
                </c:pt>
                <c:pt idx="70">
                  <c:v>-8.6824088833465201</c:v>
                </c:pt>
                <c:pt idx="71">
                  <c:v>-4.3577871373829158</c:v>
                </c:pt>
                <c:pt idx="72">
                  <c:v>-1.22514845490862E-14</c:v>
                </c:pt>
              </c:numCache>
            </c:numRef>
          </c:yVal>
          <c:smooth val="0"/>
        </c:ser>
        <c:ser>
          <c:idx val="22"/>
          <c:order val="22"/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'rainbow finite'!$O$7:$O$12</c:f>
              <c:numCache>
                <c:formatCode>General</c:formatCode>
                <c:ptCount val="6"/>
                <c:pt idx="0">
                  <c:v>-104</c:v>
                </c:pt>
                <c:pt idx="1">
                  <c:v>-42.623481511564648</c:v>
                </c:pt>
                <c:pt idx="2">
                  <c:v>29.733012887410261</c:v>
                </c:pt>
                <c:pt idx="3">
                  <c:v>37.471982807296534</c:v>
                </c:pt>
                <c:pt idx="4">
                  <c:v>-36.225354299601349</c:v>
                </c:pt>
                <c:pt idx="5">
                  <c:v>-200</c:v>
                </c:pt>
              </c:numCache>
            </c:numRef>
          </c:xVal>
          <c:yVal>
            <c:numRef>
              <c:f>'rainbow finite'!$P$7:$P$12</c:f>
              <c:numCache>
                <c:formatCode>General</c:formatCode>
                <c:ptCount val="6"/>
                <c:pt idx="0">
                  <c:v>0</c:v>
                </c:pt>
                <c:pt idx="1">
                  <c:v>26.138837461396534</c:v>
                </c:pt>
                <c:pt idx="2">
                  <c:v>40.198855016493887</c:v>
                </c:pt>
                <c:pt idx="3">
                  <c:v>-33.103632798979525</c:v>
                </c:pt>
                <c:pt idx="4">
                  <c:v>-34.463367593262767</c:v>
                </c:pt>
                <c:pt idx="5">
                  <c:v>-69.434447605499784</c:v>
                </c:pt>
              </c:numCache>
            </c:numRef>
          </c:yVal>
          <c:smooth val="0"/>
        </c:ser>
        <c:ser>
          <c:idx val="23"/>
          <c:order val="23"/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finite'!$Q$7:$Q$12</c:f>
              <c:numCache>
                <c:formatCode>General</c:formatCode>
                <c:ptCount val="6"/>
                <c:pt idx="0">
                  <c:v>-104</c:v>
                </c:pt>
                <c:pt idx="1">
                  <c:v>-42.819286995326358</c:v>
                </c:pt>
                <c:pt idx="2">
                  <c:v>30.065344796391557</c:v>
                </c:pt>
                <c:pt idx="3">
                  <c:v>36.66260506018218</c:v>
                </c:pt>
                <c:pt idx="4">
                  <c:v>-37.57299188302801</c:v>
                </c:pt>
                <c:pt idx="5">
                  <c:v>-200</c:v>
                </c:pt>
              </c:numCache>
            </c:numRef>
          </c:xVal>
          <c:yVal>
            <c:numRef>
              <c:f>'rainbow finite'!$R$7:$R$12</c:f>
              <c:numCache>
                <c:formatCode>General</c:formatCode>
                <c:ptCount val="6"/>
                <c:pt idx="0">
                  <c:v>0</c:v>
                </c:pt>
                <c:pt idx="1">
                  <c:v>25.816829030922346</c:v>
                </c:pt>
                <c:pt idx="2">
                  <c:v>39.950907903001294</c:v>
                </c:pt>
                <c:pt idx="3">
                  <c:v>-33.997843905181753</c:v>
                </c:pt>
                <c:pt idx="4">
                  <c:v>-32.988941798092156</c:v>
                </c:pt>
                <c:pt idx="5">
                  <c:v>-62.202970053237308</c:v>
                </c:pt>
              </c:numCache>
            </c:numRef>
          </c:yVal>
          <c:smooth val="0"/>
        </c:ser>
        <c:ser>
          <c:idx val="24"/>
          <c:order val="24"/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finite'!$S$7:$S$12</c:f>
              <c:numCache>
                <c:formatCode>General</c:formatCode>
                <c:ptCount val="6"/>
                <c:pt idx="0">
                  <c:v>-104</c:v>
                </c:pt>
                <c:pt idx="1">
                  <c:v>-43.014211324254617</c:v>
                </c:pt>
                <c:pt idx="2">
                  <c:v>30.41040268879059</c:v>
                </c:pt>
                <c:pt idx="3">
                  <c:v>35.803767260540816</c:v>
                </c:pt>
                <c:pt idx="4">
                  <c:v>-38.899637893739595</c:v>
                </c:pt>
                <c:pt idx="5">
                  <c:v>-200</c:v>
                </c:pt>
              </c:numCache>
            </c:numRef>
          </c:xVal>
          <c:yVal>
            <c:numRef>
              <c:f>'rainbow finite'!$T$7:$T$12</c:f>
              <c:numCache>
                <c:formatCode>General</c:formatCode>
                <c:ptCount val="6"/>
                <c:pt idx="0">
                  <c:v>0</c:v>
                </c:pt>
                <c:pt idx="1">
                  <c:v>25.490736045716016</c:v>
                </c:pt>
                <c:pt idx="2">
                  <c:v>39.688882678976967</c:v>
                </c:pt>
                <c:pt idx="3">
                  <c:v>-34.901149693857157</c:v>
                </c:pt>
                <c:pt idx="4">
                  <c:v>-31.413662182813678</c:v>
                </c:pt>
                <c:pt idx="5">
                  <c:v>-54.833401660289155</c:v>
                </c:pt>
              </c:numCache>
            </c:numRef>
          </c:yVal>
          <c:smooth val="0"/>
        </c:ser>
        <c:ser>
          <c:idx val="25"/>
          <c:order val="25"/>
          <c:spPr>
            <a:ln>
              <a:solidFill>
                <a:srgbClr val="FF0000">
                  <a:alpha val="99000"/>
                </a:srgbClr>
              </a:solidFill>
            </a:ln>
          </c:spPr>
          <c:marker>
            <c:symbol val="none"/>
          </c:marker>
          <c:xVal>
            <c:numRef>
              <c:f>'rainbow finite'!$U$7:$U$12</c:f>
              <c:numCache>
                <c:formatCode>General</c:formatCode>
                <c:ptCount val="6"/>
                <c:pt idx="0">
                  <c:v>-104</c:v>
                </c:pt>
                <c:pt idx="1">
                  <c:v>-43.208132198564172</c:v>
                </c:pt>
                <c:pt idx="2">
                  <c:v>30.767428158895981</c:v>
                </c:pt>
                <c:pt idx="3">
                  <c:v>34.894691507665911</c:v>
                </c:pt>
                <c:pt idx="4">
                  <c:v>-40.196066353092753</c:v>
                </c:pt>
                <c:pt idx="5">
                  <c:v>-200</c:v>
                </c:pt>
              </c:numCache>
            </c:numRef>
          </c:xVal>
          <c:yVal>
            <c:numRef>
              <c:f>'rainbow finite'!$V$7:$V$12</c:f>
              <c:numCache>
                <c:formatCode>General</c:formatCode>
                <c:ptCount val="6"/>
                <c:pt idx="0">
                  <c:v>0</c:v>
                </c:pt>
                <c:pt idx="1">
                  <c:v>25.160630197024126</c:v>
                </c:pt>
                <c:pt idx="2">
                  <c:v>39.412756367541398</c:v>
                </c:pt>
                <c:pt idx="3">
                  <c:v>-35.810061499316483</c:v>
                </c:pt>
                <c:pt idx="4">
                  <c:v>-29.736782773826842</c:v>
                </c:pt>
                <c:pt idx="5">
                  <c:v>-47.325712698620585</c:v>
                </c:pt>
              </c:numCache>
            </c:numRef>
          </c:yVal>
          <c:smooth val="0"/>
        </c:ser>
        <c:ser>
          <c:idx val="26"/>
          <c:order val="26"/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finite'!$W$7:$W$12</c:f>
              <c:numCache>
                <c:formatCode>General</c:formatCode>
                <c:ptCount val="6"/>
                <c:pt idx="0">
                  <c:v>-104</c:v>
                </c:pt>
                <c:pt idx="1">
                  <c:v>-43.400931235637827</c:v>
                </c:pt>
                <c:pt idx="2">
                  <c:v>31.135659455088593</c:v>
                </c:pt>
                <c:pt idx="3">
                  <c:v>33.934733228431838</c:v>
                </c:pt>
                <c:pt idx="4">
                  <c:v>-41.452861970918008</c:v>
                </c:pt>
                <c:pt idx="5">
                  <c:v>-200</c:v>
                </c:pt>
              </c:numCache>
            </c:numRef>
          </c:xVal>
          <c:yVal>
            <c:numRef>
              <c:f>'rainbow finite'!$X$7:$X$12</c:f>
              <c:numCache>
                <c:formatCode>General</c:formatCode>
                <c:ptCount val="6"/>
                <c:pt idx="0">
                  <c:v>0</c:v>
                </c:pt>
                <c:pt idx="1">
                  <c:v>24.826581880706758</c:v>
                </c:pt>
                <c:pt idx="2">
                  <c:v>39.122508997976503</c:v>
                </c:pt>
                <c:pt idx="3">
                  <c:v>-36.721027773132434</c:v>
                </c:pt>
                <c:pt idx="4">
                  <c:v>-27.958187252037987</c:v>
                </c:pt>
                <c:pt idx="5">
                  <c:v>-39.676797292387981</c:v>
                </c:pt>
              </c:numCache>
            </c:numRef>
          </c:yVal>
          <c:smooth val="0"/>
        </c:ser>
        <c:ser>
          <c:idx val="27"/>
          <c:order val="27"/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finite'!$Y$7:$Y$12</c:f>
              <c:numCache>
                <c:formatCode>General</c:formatCode>
                <c:ptCount val="6"/>
                <c:pt idx="0">
                  <c:v>-104</c:v>
                </c:pt>
                <c:pt idx="1">
                  <c:v>-43.592493790907945</c:v>
                </c:pt>
                <c:pt idx="2">
                  <c:v>31.514333407097006</c:v>
                </c:pt>
                <c:pt idx="3">
                  <c:v>32.923391408713989</c:v>
                </c:pt>
                <c:pt idx="4">
                  <c:v>-42.660469013744809</c:v>
                </c:pt>
                <c:pt idx="5">
                  <c:v>-200</c:v>
                </c:pt>
              </c:numCache>
            </c:numRef>
          </c:xVal>
          <c:yVal>
            <c:numRef>
              <c:f>'rainbow finite'!$Z$7:$Z$12</c:f>
              <c:numCache>
                <c:formatCode>General</c:formatCode>
                <c:ptCount val="6"/>
                <c:pt idx="0">
                  <c:v>0</c:v>
                </c:pt>
                <c:pt idx="1">
                  <c:v>24.48866033676919</c:v>
                </c:pt>
                <c:pt idx="2">
                  <c:v>38.818124502689841</c:v>
                </c:pt>
                <c:pt idx="3">
                  <c:v>-37.630443767628066</c:v>
                </c:pt>
                <c:pt idx="4">
                  <c:v>-26.078427550895753</c:v>
                </c:pt>
                <c:pt idx="5">
                  <c:v>-31.88039013724368</c:v>
                </c:pt>
              </c:numCache>
            </c:numRef>
          </c:yVal>
          <c:smooth val="0"/>
        </c:ser>
        <c:ser>
          <c:idx val="28"/>
          <c:order val="28"/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finite'!$AA$7:$AA$12</c:f>
              <c:numCache>
                <c:formatCode>General</c:formatCode>
                <c:ptCount val="6"/>
                <c:pt idx="0">
                  <c:v>-104</c:v>
                </c:pt>
                <c:pt idx="1">
                  <c:v>-43.782708792389265</c:v>
                </c:pt>
                <c:pt idx="2">
                  <c:v>31.902687188356033</c:v>
                </c:pt>
                <c:pt idx="3">
                  <c:v>31.860317915896395</c:v>
                </c:pt>
                <c:pt idx="4">
                  <c:v>-43.809244194039394</c:v>
                </c:pt>
                <c:pt idx="5">
                  <c:v>-200</c:v>
                </c:pt>
              </c:numCache>
            </c:numRef>
          </c:xVal>
          <c:yVal>
            <c:numRef>
              <c:f>'rainbow finite'!$AB$7:$AB$12</c:f>
              <c:numCache>
                <c:formatCode>General</c:formatCode>
                <c:ptCount val="6"/>
                <c:pt idx="0">
                  <c:v>0</c:v>
                </c:pt>
                <c:pt idx="1">
                  <c:v>24.146933776379143</c:v>
                </c:pt>
                <c:pt idx="2">
                  <c:v>38.499591558377652</c:v>
                </c:pt>
                <c:pt idx="3">
                  <c:v>-38.534661569786891</c:v>
                </c:pt>
                <c:pt idx="4">
                  <c:v>-24.098757709621164</c:v>
                </c:pt>
                <c:pt idx="5">
                  <c:v>-23.926946069432962</c:v>
                </c:pt>
              </c:numCache>
            </c:numRef>
          </c:yVal>
          <c:smooth val="0"/>
        </c:ser>
        <c:ser>
          <c:idx val="29"/>
          <c:order val="29"/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finite'!$AC$7:$AC$12</c:f>
              <c:numCache>
                <c:formatCode>General</c:formatCode>
                <c:ptCount val="6"/>
                <c:pt idx="0">
                  <c:v>-104</c:v>
                </c:pt>
                <c:pt idx="1">
                  <c:v>-43.971468587674451</c:v>
                </c:pt>
                <c:pt idx="2">
                  <c:v>32.299959921623078</c:v>
                </c:pt>
                <c:pt idx="3">
                  <c:v>30.745325884602348</c:v>
                </c:pt>
                <c:pt idx="4">
                  <c:v>-44.889513239612874</c:v>
                </c:pt>
                <c:pt idx="5">
                  <c:v>-200</c:v>
                </c:pt>
              </c:numCache>
            </c:numRef>
          </c:xVal>
          <c:yVal>
            <c:numRef>
              <c:f>'rainbow finite'!$AD$7:$AD$12</c:f>
              <c:numCache>
                <c:formatCode>General</c:formatCode>
                <c:ptCount val="6"/>
                <c:pt idx="0">
                  <c:v>0</c:v>
                </c:pt>
                <c:pt idx="1">
                  <c:v>23.801469497557477</c:v>
                </c:pt>
                <c:pt idx="2">
                  <c:v>38.166904368333867</c:v>
                </c:pt>
                <c:pt idx="3">
                  <c:v>-39.43000045967031</c:v>
                </c:pt>
                <c:pt idx="4">
                  <c:v>-22.02116257400187</c:v>
                </c:pt>
                <c:pt idx="5">
                  <c:v>-15.803469405902863</c:v>
                </c:pt>
              </c:numCache>
            </c:numRef>
          </c:yVal>
          <c:smooth val="0"/>
        </c:ser>
        <c:ser>
          <c:idx val="30"/>
          <c:order val="30"/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finite'!$AE$7:$AE$12</c:f>
              <c:numCache>
                <c:formatCode>General</c:formatCode>
                <c:ptCount val="6"/>
                <c:pt idx="0">
                  <c:v>-104</c:v>
                </c:pt>
                <c:pt idx="1">
                  <c:v>-44.15866880232317</c:v>
                </c:pt>
                <c:pt idx="2">
                  <c:v>32.70539413652407</c:v>
                </c:pt>
                <c:pt idx="3">
                  <c:v>29.578397144495899</c:v>
                </c:pt>
                <c:pt idx="4">
                  <c:v>-45.891630748430167</c:v>
                </c:pt>
                <c:pt idx="5">
                  <c:v>-200</c:v>
                </c:pt>
              </c:numCache>
            </c:numRef>
          </c:xVal>
          <c:yVal>
            <c:numRef>
              <c:f>'rainbow finite'!$AF$7:$AF$12</c:f>
              <c:numCache>
                <c:formatCode>General</c:formatCode>
                <c:ptCount val="6"/>
                <c:pt idx="0">
                  <c:v>0</c:v>
                </c:pt>
                <c:pt idx="1">
                  <c:v>23.452333990601666</c:v>
                </c:pt>
                <c:pt idx="2">
                  <c:v>37.820063384063978</c:v>
                </c:pt>
                <c:pt idx="3">
                  <c:v>-40.31275756336295</c:v>
                </c:pt>
                <c:pt idx="4">
                  <c:v>-19.848380973009835</c:v>
                </c:pt>
                <c:pt idx="5">
                  <c:v>-7.4932783413435207</c:v>
                </c:pt>
              </c:numCache>
            </c:numRef>
          </c:yVal>
          <c:smooth val="0"/>
        </c:ser>
        <c:ser>
          <c:idx val="31"/>
          <c:order val="31"/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finite'!$AG$7:$AG$12</c:f>
              <c:numCache>
                <c:formatCode>General</c:formatCode>
                <c:ptCount val="6"/>
                <c:pt idx="0">
                  <c:v>-104</c:v>
                </c:pt>
                <c:pt idx="1">
                  <c:v>-44.344208208681749</c:v>
                </c:pt>
                <c:pt idx="2">
                  <c:v>33.118237088018645</c:v>
                </c:pt>
                <c:pt idx="3">
                  <c:v>28.359688675141232</c:v>
                </c:pt>
                <c:pt idx="4">
                  <c:v>-46.806042884810928</c:v>
                </c:pt>
                <c:pt idx="5">
                  <c:v>-200</c:v>
                </c:pt>
              </c:numCache>
            </c:numRef>
          </c:xVal>
          <c:yVal>
            <c:numRef>
              <c:f>'rainbow finite'!$AH$7:$AH$12</c:f>
              <c:numCache>
                <c:formatCode>General</c:formatCode>
                <c:ptCount val="6"/>
                <c:pt idx="0">
                  <c:v>0</c:v>
                </c:pt>
                <c:pt idx="1">
                  <c:v>23.099593034187468</c:v>
                </c:pt>
                <c:pt idx="2">
                  <c:v>37.459075965402384</c:v>
                </c:pt>
                <c:pt idx="3">
                  <c:v>-41.179218766861837</c:v>
                </c:pt>
                <c:pt idx="4">
                  <c:v>-17.583923039675785</c:v>
                </c:pt>
                <c:pt idx="5">
                  <c:v>1.0243128398083847</c:v>
                </c:pt>
              </c:numCache>
            </c:numRef>
          </c:yVal>
          <c:smooth val="0"/>
        </c:ser>
        <c:ser>
          <c:idx val="32"/>
          <c:order val="32"/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finite'!$AI$7:$AI$12</c:f>
              <c:numCache>
                <c:formatCode>General</c:formatCode>
                <c:ptCount val="6"/>
                <c:pt idx="0">
                  <c:v>-104</c:v>
                </c:pt>
                <c:pt idx="1">
                  <c:v>-44.527988604264102</c:v>
                </c:pt>
                <c:pt idx="2">
                  <c:v>33.537741944924385</c:v>
                </c:pt>
                <c:pt idx="3">
                  <c:v>27.089538078503228</c:v>
                </c:pt>
                <c:pt idx="4">
                  <c:v>-47.623352428882058</c:v>
                </c:pt>
                <c:pt idx="5">
                  <c:v>-200</c:v>
                </c:pt>
              </c:numCache>
            </c:numRef>
          </c:xVal>
          <c:yVal>
            <c:numRef>
              <c:f>'rainbow finite'!$AJ$7:$AJ$12</c:f>
              <c:numCache>
                <c:formatCode>General</c:formatCode>
                <c:ptCount val="6"/>
                <c:pt idx="0">
                  <c:v>0</c:v>
                </c:pt>
                <c:pt idx="1">
                  <c:v>22.743311782995161</c:v>
                </c:pt>
                <c:pt idx="2">
                  <c:v>37.083956979206789</c:v>
                </c:pt>
                <c:pt idx="3">
                  <c:v>-42.025669854189402</c:v>
                </c:pt>
                <c:pt idx="4">
                  <c:v>-15.232081388782493</c:v>
                </c:pt>
                <c:pt idx="5">
                  <c:v>9.774414691169806</c:v>
                </c:pt>
              </c:numCache>
            </c:numRef>
          </c:yVal>
          <c:smooth val="0"/>
        </c:ser>
        <c:ser>
          <c:idx val="33"/>
          <c:order val="33"/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finite'!$AK$7:$AK$12</c:f>
              <c:numCache>
                <c:formatCode>General</c:formatCode>
                <c:ptCount val="6"/>
                <c:pt idx="0">
                  <c:v>-104</c:v>
                </c:pt>
                <c:pt idx="1">
                  <c:v>-44.709914698908477</c:v>
                </c:pt>
                <c:pt idx="2">
                  <c:v>33.963168857642209</c:v>
                </c:pt>
                <c:pt idx="3">
                  <c:v>25.768468064780642</c:v>
                </c:pt>
                <c:pt idx="4">
                  <c:v>-48.334385652462643</c:v>
                </c:pt>
                <c:pt idx="5">
                  <c:v>-200</c:v>
                </c:pt>
              </c:numCache>
            </c:numRef>
          </c:xVal>
          <c:yVal>
            <c:numRef>
              <c:f>'rainbow finite'!$AL$7:$AL$12</c:f>
              <c:numCache>
                <c:formatCode>General</c:formatCode>
                <c:ptCount val="6"/>
                <c:pt idx="0">
                  <c:v>0</c:v>
                </c:pt>
                <c:pt idx="1">
                  <c:v>22.3835548476181</c:v>
                </c:pt>
                <c:pt idx="2">
                  <c:v>36.694729337430495</c:v>
                </c:pt>
                <c:pt idx="3">
                  <c:v>-42.848407830331112</c:v>
                </c:pt>
                <c:pt idx="4">
                  <c:v>-12.797935911662231</c:v>
                </c:pt>
                <c:pt idx="5">
                  <c:v>18.787112926746737</c:v>
                </c:pt>
              </c:numCache>
            </c:numRef>
          </c:yVal>
          <c:smooth val="0"/>
        </c:ser>
        <c:ser>
          <c:idx val="34"/>
          <c:order val="34"/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finite'!$AM$7:$AM$12</c:f>
              <c:numCache>
                <c:formatCode>General</c:formatCode>
                <c:ptCount val="6"/>
                <c:pt idx="0">
                  <c:v>-104</c:v>
                </c:pt>
                <c:pt idx="1">
                  <c:v>-44.889894009998571</c:v>
                </c:pt>
                <c:pt idx="2">
                  <c:v>34.393785914108108</c:v>
                </c:pt>
                <c:pt idx="3">
                  <c:v>24.397189951920055</c:v>
                </c:pt>
                <c:pt idx="4">
                  <c:v>-48.930260461632173</c:v>
                </c:pt>
                <c:pt idx="5">
                  <c:v>-200</c:v>
                </c:pt>
              </c:numCache>
            </c:numRef>
          </c:xVal>
          <c:yVal>
            <c:numRef>
              <c:f>'rainbow finite'!$AN$7:$AN$12</c:f>
              <c:numCache>
                <c:formatCode>General</c:formatCode>
                <c:ptCount val="6"/>
                <c:pt idx="0">
                  <c:v>0</c:v>
                </c:pt>
                <c:pt idx="1">
                  <c:v>22.020386367434483</c:v>
                </c:pt>
                <c:pt idx="2">
                  <c:v>36.291424475962621</c:v>
                </c:pt>
                <c:pt idx="3">
                  <c:v>-43.643752387368473</c:v>
                </c:pt>
                <c:pt idx="4">
                  <c:v>-10.287351999267594</c:v>
                </c:pt>
                <c:pt idx="5">
                  <c:v>28.098181850169695</c:v>
                </c:pt>
              </c:numCache>
            </c:numRef>
          </c:yVal>
          <c:smooth val="0"/>
        </c:ser>
        <c:ser>
          <c:idx val="35"/>
          <c:order val="35"/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finite'!$AO$7:$AO$12</c:f>
              <c:numCache>
                <c:formatCode>General</c:formatCode>
                <c:ptCount val="6"/>
                <c:pt idx="0">
                  <c:v>-104</c:v>
                </c:pt>
                <c:pt idx="1">
                  <c:v>-45.067836765104218</c:v>
                </c:pt>
                <c:pt idx="2">
                  <c:v>34.828869992778678</c:v>
                </c:pt>
                <c:pt idx="3">
                  <c:v>22.97660618341278</c:v>
                </c:pt>
                <c:pt idx="4">
                  <c:v>-49.402455219279837</c:v>
                </c:pt>
                <c:pt idx="5">
                  <c:v>-200</c:v>
                </c:pt>
              </c:numCache>
            </c:numRef>
          </c:xVal>
          <c:yVal>
            <c:numRef>
              <c:f>'rainbow finite'!$AP$7:$AP$12</c:f>
              <c:numCache>
                <c:formatCode>General</c:formatCode>
                <c:ptCount val="6"/>
                <c:pt idx="0">
                  <c:v>0</c:v>
                </c:pt>
                <c:pt idx="1">
                  <c:v>21.653870077053679</c:v>
                </c:pt>
                <c:pt idx="2">
                  <c:v>35.874082776095072</c:v>
                </c:pt>
                <c:pt idx="3">
                  <c:v>-44.408057470377578</c:v>
                </c:pt>
                <c:pt idx="4">
                  <c:v>-7.7069720582762073</c:v>
                </c:pt>
                <c:pt idx="5">
                  <c:v>37.750005043775033</c:v>
                </c:pt>
              </c:numCache>
            </c:numRef>
          </c:yVal>
          <c:smooth val="0"/>
        </c:ser>
        <c:ser>
          <c:idx val="36"/>
          <c:order val="36"/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finite'!$AQ$7:$AQ$12</c:f>
              <c:numCache>
                <c:formatCode>General</c:formatCode>
                <c:ptCount val="6"/>
                <c:pt idx="0">
                  <c:v>-104</c:v>
                </c:pt>
                <c:pt idx="1">
                  <c:v>-45.243655811455874</c:v>
                </c:pt>
                <c:pt idx="2">
                  <c:v>35.267707521162315</c:v>
                </c:pt>
                <c:pt idx="3">
                  <c:v>21.507811872870803</c:v>
                </c:pt>
                <c:pt idx="4">
                  <c:v>-49.742877640132491</c:v>
                </c:pt>
                <c:pt idx="5">
                  <c:v>-200</c:v>
                </c:pt>
              </c:numCache>
            </c:numRef>
          </c:xVal>
          <c:yVal>
            <c:numRef>
              <c:f>'rainbow finite'!$AR$7:$AR$12</c:f>
              <c:numCache>
                <c:formatCode>General</c:formatCode>
                <c:ptCount val="6"/>
                <c:pt idx="0">
                  <c:v>0</c:v>
                </c:pt>
                <c:pt idx="1">
                  <c:v>21.284069366888353</c:v>
                </c:pt>
                <c:pt idx="2">
                  <c:v>35.442753930835444</c:v>
                </c:pt>
                <c:pt idx="3">
                  <c:v>-45.137722898272102</c:v>
                </c:pt>
                <c:pt idx="4">
                  <c:v>-5.0642002407889963</c:v>
                </c:pt>
                <c:pt idx="5">
                  <c:v>47.792762107174262</c:v>
                </c:pt>
              </c:numCache>
            </c:numRef>
          </c:yVal>
          <c:smooth val="0"/>
        </c:ser>
        <c:ser>
          <c:idx val="37"/>
          <c:order val="37"/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finite'!$AS$7:$AS$12</c:f>
              <c:numCache>
                <c:formatCode>General</c:formatCode>
                <c:ptCount val="6"/>
                <c:pt idx="0">
                  <c:v>-104</c:v>
                </c:pt>
                <c:pt idx="1">
                  <c:v>-45.417266531720344</c:v>
                </c:pt>
                <c:pt idx="2">
                  <c:v>35.709595148051278</c:v>
                </c:pt>
                <c:pt idx="3">
                  <c:v>19.99209538744557</c:v>
                </c:pt>
                <c:pt idx="4">
                  <c:v>-49.943933136232268</c:v>
                </c:pt>
                <c:pt idx="5">
                  <c:v>-200</c:v>
                </c:pt>
              </c:numCache>
            </c:numRef>
          </c:xVal>
          <c:yVal>
            <c:numRef>
              <c:f>'rainbow finite'!$AT$7:$AT$12</c:f>
              <c:numCache>
                <c:formatCode>General</c:formatCode>
                <c:ptCount val="6"/>
                <c:pt idx="0">
                  <c:v>0</c:v>
                </c:pt>
                <c:pt idx="1">
                  <c:v>20.911047338349061</c:v>
                </c:pt>
                <c:pt idx="2">
                  <c:v>34.99749725855083</c:v>
                </c:pt>
                <c:pt idx="3">
                  <c:v>-45.829205993768618</c:v>
                </c:pt>
                <c:pt idx="4">
                  <c:v>-2.3671803656588688</c:v>
                </c:pt>
                <c:pt idx="5">
                  <c:v>58.28596087679054</c:v>
                </c:pt>
              </c:numCache>
            </c:numRef>
          </c:yVal>
          <c:smooth val="0"/>
        </c:ser>
        <c:ser>
          <c:idx val="38"/>
          <c:order val="38"/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finite'!$AU$7:$AU$12</c:f>
              <c:numCache>
                <c:formatCode>General</c:formatCode>
                <c:ptCount val="6"/>
                <c:pt idx="0">
                  <c:v>-104</c:v>
                </c:pt>
                <c:pt idx="1">
                  <c:v>-45.588586765592723</c:v>
                </c:pt>
                <c:pt idx="2">
                  <c:v>36.153840337208699</c:v>
                </c:pt>
                <c:pt idx="3">
                  <c:v>18.430937985438657</c:v>
                </c:pt>
                <c:pt idx="4">
                  <c:v>-49.998591982643113</c:v>
                </c:pt>
                <c:pt idx="5">
                  <c:v>-200</c:v>
                </c:pt>
              </c:numCache>
            </c:numRef>
          </c:xVal>
          <c:yVal>
            <c:numRef>
              <c:f>'rainbow finite'!$AV$7:$AV$12</c:f>
              <c:numCache>
                <c:formatCode>General</c:formatCode>
                <c:ptCount val="6"/>
                <c:pt idx="0">
                  <c:v>0</c:v>
                </c:pt>
                <c:pt idx="1">
                  <c:v>20.534866854109975</c:v>
                </c:pt>
                <c:pt idx="2">
                  <c:v>34.538381966612462</c:v>
                </c:pt>
                <c:pt idx="3">
                  <c:v>-46.479033176012969</c:v>
                </c:pt>
                <c:pt idx="4">
                  <c:v>0.37523293189108936</c:v>
                </c:pt>
                <c:pt idx="5">
                  <c:v>69.300423941802308</c:v>
                </c:pt>
              </c:numCache>
            </c:numRef>
          </c:yVal>
          <c:smooth val="0"/>
        </c:ser>
        <c:ser>
          <c:idx val="39"/>
          <c:order val="39"/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finite'!$AW$7:$AW$12</c:f>
              <c:numCache>
                <c:formatCode>General</c:formatCode>
                <c:ptCount val="6"/>
                <c:pt idx="0">
                  <c:v>-104</c:v>
                </c:pt>
                <c:pt idx="1">
                  <c:v>-45.757536736762255</c:v>
                </c:pt>
                <c:pt idx="2">
                  <c:v>36.599761889833218</c:v>
                </c:pt>
                <c:pt idx="3">
                  <c:v>16.826012526480866</c:v>
                </c:pt>
                <c:pt idx="4">
                  <c:v>-49.900454671323814</c:v>
                </c:pt>
                <c:pt idx="5">
                  <c:v>-200</c:v>
                </c:pt>
              </c:numCache>
            </c:numRef>
          </c:xVal>
          <c:yVal>
            <c:numRef>
              <c:f>'rainbow finite'!$AX$7:$AX$12</c:f>
              <c:numCache>
                <c:formatCode>General</c:formatCode>
                <c:ptCount val="6"/>
                <c:pt idx="0">
                  <c:v>0</c:v>
                </c:pt>
                <c:pt idx="1">
                  <c:v>20.15559058385173</c:v>
                </c:pt>
                <c:pt idx="2">
                  <c:v>34.065487367825988</c:v>
                </c:pt>
                <c:pt idx="3">
                  <c:v>-47.083811469110152</c:v>
                </c:pt>
                <c:pt idx="4">
                  <c:v>3.1535097265043639</c:v>
                </c:pt>
                <c:pt idx="5">
                  <c:v>80.920880604157418</c:v>
                </c:pt>
              </c:numCache>
            </c:numRef>
          </c:yVal>
          <c:smooth val="0"/>
        </c:ser>
        <c:ser>
          <c:idx val="40"/>
          <c:order val="40"/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finite'!$AY$7:$AY$12</c:f>
              <c:numCache>
                <c:formatCode>General</c:formatCode>
                <c:ptCount val="6"/>
                <c:pt idx="0">
                  <c:v>-104</c:v>
                </c:pt>
                <c:pt idx="1">
                  <c:v>-45.924038984848366</c:v>
                </c:pt>
                <c:pt idx="2">
                  <c:v>37.046690402673178</c:v>
                </c:pt>
                <c:pt idx="3">
                  <c:v>15.179181275459767</c:v>
                </c:pt>
                <c:pt idx="4">
                  <c:v>-49.643814825570395</c:v>
                </c:pt>
                <c:pt idx="5">
                  <c:v>-200</c:v>
                </c:pt>
              </c:numCache>
            </c:numRef>
          </c:xVal>
          <c:yVal>
            <c:numRef>
              <c:f>'rainbow finite'!$AZ$7:$AZ$12</c:f>
              <c:numCache>
                <c:formatCode>General</c:formatCode>
                <c:ptCount val="6"/>
                <c:pt idx="0">
                  <c:v>0</c:v>
                </c:pt>
                <c:pt idx="1">
                  <c:v>19.773281045848911</c:v>
                </c:pt>
                <c:pt idx="2">
                  <c:v>33.578903052489416</c:v>
                </c:pt>
                <c:pt idx="3">
                  <c:v>-47.640239879819369</c:v>
                </c:pt>
                <c:pt idx="4">
                  <c:v>5.9574868497108309</c:v>
                </c:pt>
                <c:pt idx="5">
                  <c:v>93.249377285322922</c:v>
                </c:pt>
              </c:numCache>
            </c:numRef>
          </c:yVal>
          <c:smooth val="0"/>
        </c:ser>
        <c:ser>
          <c:idx val="41"/>
          <c:order val="41"/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'rainbow finite'!$L$30:$L$35</c:f>
              <c:numCache>
                <c:formatCode>General</c:formatCode>
                <c:ptCount val="6"/>
                <c:pt idx="0">
                  <c:v>-104</c:v>
                </c:pt>
                <c:pt idx="1">
                  <c:v>-40.912296585542997</c:v>
                </c:pt>
                <c:pt idx="2">
                  <c:v>34.887837631798455</c:v>
                </c:pt>
                <c:pt idx="3">
                  <c:v>29.808303942260395</c:v>
                </c:pt>
                <c:pt idx="4">
                  <c:v>-44.37513206307927</c:v>
                </c:pt>
                <c:pt idx="5">
                  <c:v>-200</c:v>
                </c:pt>
              </c:numCache>
            </c:numRef>
          </c:xVal>
          <c:yVal>
            <c:numRef>
              <c:f>'rainbow finite'!$M$30:$M$35</c:f>
              <c:numCache>
                <c:formatCode>General</c:formatCode>
                <c:ptCount val="6"/>
                <c:pt idx="0">
                  <c:v>0</c:v>
                </c:pt>
                <c:pt idx="1">
                  <c:v>28.743416430490075</c:v>
                </c:pt>
                <c:pt idx="2">
                  <c:v>35.816738899253068</c:v>
                </c:pt>
                <c:pt idx="3">
                  <c:v>-40.143056885167873</c:v>
                </c:pt>
                <c:pt idx="4">
                  <c:v>-23.040131388172984</c:v>
                </c:pt>
                <c:pt idx="5">
                  <c:v>-2.13295075919795</c:v>
                </c:pt>
              </c:numCache>
            </c:numRef>
          </c:yVal>
          <c:smooth val="0"/>
        </c:ser>
        <c:ser>
          <c:idx val="0"/>
          <c:order val="0"/>
          <c:tx>
            <c:v>circle</c:v>
          </c:tx>
          <c:marker>
            <c:symbol val="none"/>
          </c:marker>
          <c:xVal>
            <c:numRef>
              <c:f>RAINBOW!$BI$56:$BI$128</c:f>
              <c:numCache>
                <c:formatCode>General</c:formatCode>
                <c:ptCount val="73"/>
                <c:pt idx="0">
                  <c:v>50</c:v>
                </c:pt>
                <c:pt idx="1">
                  <c:v>49.80973490458728</c:v>
                </c:pt>
                <c:pt idx="2">
                  <c:v>49.240387650610401</c:v>
                </c:pt>
                <c:pt idx="3">
                  <c:v>48.296291314453413</c:v>
                </c:pt>
                <c:pt idx="4">
                  <c:v>46.984631039295422</c:v>
                </c:pt>
                <c:pt idx="5">
                  <c:v>45.315389351832494</c:v>
                </c:pt>
                <c:pt idx="6">
                  <c:v>43.301270189221938</c:v>
                </c:pt>
                <c:pt idx="7">
                  <c:v>40.957602214449587</c:v>
                </c:pt>
                <c:pt idx="8">
                  <c:v>38.302222155948904</c:v>
                </c:pt>
                <c:pt idx="9">
                  <c:v>35.355339059327378</c:v>
                </c:pt>
                <c:pt idx="10">
                  <c:v>32.139380484326971</c:v>
                </c:pt>
                <c:pt idx="11">
                  <c:v>28.678821817552308</c:v>
                </c:pt>
                <c:pt idx="12">
                  <c:v>25.000000000000007</c:v>
                </c:pt>
                <c:pt idx="13">
                  <c:v>21.130913087034973</c:v>
                </c:pt>
                <c:pt idx="14">
                  <c:v>17.101007166283441</c:v>
                </c:pt>
                <c:pt idx="15">
                  <c:v>12.940952255126037</c:v>
                </c:pt>
                <c:pt idx="16">
                  <c:v>8.6824088833465201</c:v>
                </c:pt>
                <c:pt idx="17">
                  <c:v>4.3577871373829069</c:v>
                </c:pt>
                <c:pt idx="18">
                  <c:v>3.06287113727155E-15</c:v>
                </c:pt>
                <c:pt idx="19">
                  <c:v>-4.3577871373829113</c:v>
                </c:pt>
                <c:pt idx="20">
                  <c:v>-8.6824088833465147</c:v>
                </c:pt>
                <c:pt idx="21">
                  <c:v>-12.940952255126042</c:v>
                </c:pt>
                <c:pt idx="22">
                  <c:v>-17.101007166283434</c:v>
                </c:pt>
                <c:pt idx="23">
                  <c:v>-21.130913087034966</c:v>
                </c:pt>
                <c:pt idx="24">
                  <c:v>-24.999999999999989</c:v>
                </c:pt>
                <c:pt idx="25">
                  <c:v>-28.678821817552308</c:v>
                </c:pt>
                <c:pt idx="26">
                  <c:v>-32.139380484326971</c:v>
                </c:pt>
                <c:pt idx="27">
                  <c:v>-35.35533905932737</c:v>
                </c:pt>
                <c:pt idx="28">
                  <c:v>-38.302222155948897</c:v>
                </c:pt>
                <c:pt idx="29">
                  <c:v>-40.957602214449594</c:v>
                </c:pt>
                <c:pt idx="30">
                  <c:v>-43.301270189221938</c:v>
                </c:pt>
                <c:pt idx="31">
                  <c:v>-45.315389351832494</c:v>
                </c:pt>
                <c:pt idx="32">
                  <c:v>-46.984631039295415</c:v>
                </c:pt>
                <c:pt idx="33">
                  <c:v>-48.296291314453413</c:v>
                </c:pt>
                <c:pt idx="34">
                  <c:v>-49.240387650610401</c:v>
                </c:pt>
                <c:pt idx="35">
                  <c:v>-49.80973490458728</c:v>
                </c:pt>
                <c:pt idx="36">
                  <c:v>-50</c:v>
                </c:pt>
                <c:pt idx="37">
                  <c:v>-49.80973490458728</c:v>
                </c:pt>
                <c:pt idx="38">
                  <c:v>-49.240387650610401</c:v>
                </c:pt>
                <c:pt idx="39">
                  <c:v>-48.296291314453413</c:v>
                </c:pt>
                <c:pt idx="40">
                  <c:v>-46.984631039295422</c:v>
                </c:pt>
                <c:pt idx="41">
                  <c:v>-45.315389351832501</c:v>
                </c:pt>
                <c:pt idx="42">
                  <c:v>-43.301270189221931</c:v>
                </c:pt>
                <c:pt idx="43">
                  <c:v>-40.957602214449587</c:v>
                </c:pt>
                <c:pt idx="44">
                  <c:v>-38.302222155948904</c:v>
                </c:pt>
                <c:pt idx="45">
                  <c:v>-35.355339059327385</c:v>
                </c:pt>
                <c:pt idx="46">
                  <c:v>-32.139380484326971</c:v>
                </c:pt>
                <c:pt idx="47">
                  <c:v>-28.678821817552318</c:v>
                </c:pt>
                <c:pt idx="48">
                  <c:v>-25.000000000000021</c:v>
                </c:pt>
                <c:pt idx="49">
                  <c:v>-21.130913087034958</c:v>
                </c:pt>
                <c:pt idx="50">
                  <c:v>-17.101007166283427</c:v>
                </c:pt>
                <c:pt idx="51">
                  <c:v>-12.940952255126032</c:v>
                </c:pt>
                <c:pt idx="52">
                  <c:v>-8.6824088833465165</c:v>
                </c:pt>
                <c:pt idx="53">
                  <c:v>-4.3577871373829122</c:v>
                </c:pt>
                <c:pt idx="54">
                  <c:v>-9.1886134118146501E-15</c:v>
                </c:pt>
                <c:pt idx="55">
                  <c:v>4.3577871373828945</c:v>
                </c:pt>
                <c:pt idx="56">
                  <c:v>8.6824088833464987</c:v>
                </c:pt>
                <c:pt idx="57">
                  <c:v>12.940952255126014</c:v>
                </c:pt>
                <c:pt idx="58">
                  <c:v>17.101007166283448</c:v>
                </c:pt>
                <c:pt idx="59">
                  <c:v>21.13091308703498</c:v>
                </c:pt>
                <c:pt idx="60">
                  <c:v>25.000000000000007</c:v>
                </c:pt>
                <c:pt idx="61">
                  <c:v>28.678821817552304</c:v>
                </c:pt>
                <c:pt idx="62">
                  <c:v>32.139380484326963</c:v>
                </c:pt>
                <c:pt idx="63">
                  <c:v>35.35533905932737</c:v>
                </c:pt>
                <c:pt idx="64">
                  <c:v>38.30222215594889</c:v>
                </c:pt>
                <c:pt idx="65">
                  <c:v>40.957602214449579</c:v>
                </c:pt>
                <c:pt idx="66">
                  <c:v>43.301270189221917</c:v>
                </c:pt>
                <c:pt idx="67">
                  <c:v>45.315389351832501</c:v>
                </c:pt>
                <c:pt idx="68">
                  <c:v>46.984631039295422</c:v>
                </c:pt>
                <c:pt idx="69">
                  <c:v>48.296291314453413</c:v>
                </c:pt>
                <c:pt idx="70">
                  <c:v>49.240387650610401</c:v>
                </c:pt>
                <c:pt idx="71">
                  <c:v>49.80973490458728</c:v>
                </c:pt>
                <c:pt idx="72">
                  <c:v>50</c:v>
                </c:pt>
              </c:numCache>
            </c:numRef>
          </c:xVal>
          <c:yVal>
            <c:numRef>
              <c:f>RAINBOW!$BJ$56:$BJ$128</c:f>
              <c:numCache>
                <c:formatCode>General</c:formatCode>
                <c:ptCount val="73"/>
                <c:pt idx="0">
                  <c:v>0</c:v>
                </c:pt>
                <c:pt idx="1">
                  <c:v>4.3577871373829087</c:v>
                </c:pt>
                <c:pt idx="2">
                  <c:v>8.6824088833465165</c:v>
                </c:pt>
                <c:pt idx="3">
                  <c:v>12.940952255126037</c:v>
                </c:pt>
                <c:pt idx="4">
                  <c:v>17.101007166283434</c:v>
                </c:pt>
                <c:pt idx="5">
                  <c:v>21.130913087034973</c:v>
                </c:pt>
                <c:pt idx="6">
                  <c:v>24.999999999999996</c:v>
                </c:pt>
                <c:pt idx="7">
                  <c:v>28.678821817552304</c:v>
                </c:pt>
                <c:pt idx="8">
                  <c:v>32.139380484326963</c:v>
                </c:pt>
                <c:pt idx="9">
                  <c:v>35.35533905932737</c:v>
                </c:pt>
                <c:pt idx="10">
                  <c:v>38.302222155948904</c:v>
                </c:pt>
                <c:pt idx="11">
                  <c:v>40.957602214449587</c:v>
                </c:pt>
                <c:pt idx="12">
                  <c:v>43.301270189221931</c:v>
                </c:pt>
                <c:pt idx="13">
                  <c:v>45.315389351832494</c:v>
                </c:pt>
                <c:pt idx="14">
                  <c:v>46.984631039295415</c:v>
                </c:pt>
                <c:pt idx="15">
                  <c:v>48.296291314453413</c:v>
                </c:pt>
                <c:pt idx="16">
                  <c:v>49.240387650610401</c:v>
                </c:pt>
                <c:pt idx="17">
                  <c:v>49.80973490458728</c:v>
                </c:pt>
                <c:pt idx="18">
                  <c:v>50</c:v>
                </c:pt>
                <c:pt idx="19">
                  <c:v>49.80973490458728</c:v>
                </c:pt>
                <c:pt idx="20">
                  <c:v>49.240387650610401</c:v>
                </c:pt>
                <c:pt idx="21">
                  <c:v>48.296291314453413</c:v>
                </c:pt>
                <c:pt idx="22">
                  <c:v>46.984631039295422</c:v>
                </c:pt>
                <c:pt idx="23">
                  <c:v>45.315389351832501</c:v>
                </c:pt>
                <c:pt idx="24">
                  <c:v>43.301270189221938</c:v>
                </c:pt>
                <c:pt idx="25">
                  <c:v>40.957602214449587</c:v>
                </c:pt>
                <c:pt idx="26">
                  <c:v>38.302222155948904</c:v>
                </c:pt>
                <c:pt idx="27">
                  <c:v>35.355339059327378</c:v>
                </c:pt>
                <c:pt idx="28">
                  <c:v>32.139380484326971</c:v>
                </c:pt>
                <c:pt idx="29">
                  <c:v>28.678821817552297</c:v>
                </c:pt>
                <c:pt idx="30">
                  <c:v>24.999999999999996</c:v>
                </c:pt>
                <c:pt idx="31">
                  <c:v>21.130913087034976</c:v>
                </c:pt>
                <c:pt idx="32">
                  <c:v>17.101007166283445</c:v>
                </c:pt>
                <c:pt idx="33">
                  <c:v>12.940952255126051</c:v>
                </c:pt>
                <c:pt idx="34">
                  <c:v>8.682408883346513</c:v>
                </c:pt>
                <c:pt idx="35">
                  <c:v>4.3577871373829096</c:v>
                </c:pt>
                <c:pt idx="36">
                  <c:v>6.1257422745431001E-15</c:v>
                </c:pt>
                <c:pt idx="37">
                  <c:v>-4.3577871373828971</c:v>
                </c:pt>
                <c:pt idx="38">
                  <c:v>-8.6824088833465236</c:v>
                </c:pt>
                <c:pt idx="39">
                  <c:v>-12.940952255126041</c:v>
                </c:pt>
                <c:pt idx="40">
                  <c:v>-17.101007166283434</c:v>
                </c:pt>
                <c:pt idx="41">
                  <c:v>-21.130913087034962</c:v>
                </c:pt>
                <c:pt idx="42">
                  <c:v>-25.000000000000007</c:v>
                </c:pt>
                <c:pt idx="43">
                  <c:v>-28.678821817552308</c:v>
                </c:pt>
                <c:pt idx="44">
                  <c:v>-32.139380484326963</c:v>
                </c:pt>
                <c:pt idx="45">
                  <c:v>-35.35533905932737</c:v>
                </c:pt>
                <c:pt idx="46">
                  <c:v>-38.302222155948897</c:v>
                </c:pt>
                <c:pt idx="47">
                  <c:v>-40.957602214449579</c:v>
                </c:pt>
                <c:pt idx="48">
                  <c:v>-43.301270189221917</c:v>
                </c:pt>
                <c:pt idx="49">
                  <c:v>-45.315389351832501</c:v>
                </c:pt>
                <c:pt idx="50">
                  <c:v>-46.984631039295422</c:v>
                </c:pt>
                <c:pt idx="51">
                  <c:v>-48.296291314453413</c:v>
                </c:pt>
                <c:pt idx="52">
                  <c:v>-49.240387650610401</c:v>
                </c:pt>
                <c:pt idx="53">
                  <c:v>-49.80973490458728</c:v>
                </c:pt>
                <c:pt idx="54">
                  <c:v>-50</c:v>
                </c:pt>
                <c:pt idx="55">
                  <c:v>-49.80973490458728</c:v>
                </c:pt>
                <c:pt idx="56">
                  <c:v>-49.240387650610408</c:v>
                </c:pt>
                <c:pt idx="57">
                  <c:v>-48.29629131445342</c:v>
                </c:pt>
                <c:pt idx="58">
                  <c:v>-46.984631039295415</c:v>
                </c:pt>
                <c:pt idx="59">
                  <c:v>-45.315389351832494</c:v>
                </c:pt>
                <c:pt idx="60">
                  <c:v>-43.301270189221931</c:v>
                </c:pt>
                <c:pt idx="61">
                  <c:v>-40.957602214449587</c:v>
                </c:pt>
                <c:pt idx="62">
                  <c:v>-38.302222155948904</c:v>
                </c:pt>
                <c:pt idx="63">
                  <c:v>-35.355339059327385</c:v>
                </c:pt>
                <c:pt idx="64">
                  <c:v>-32.139380484326978</c:v>
                </c:pt>
                <c:pt idx="65">
                  <c:v>-28.678821817552326</c:v>
                </c:pt>
                <c:pt idx="66">
                  <c:v>-25.000000000000021</c:v>
                </c:pt>
                <c:pt idx="67">
                  <c:v>-21.130913087034962</c:v>
                </c:pt>
                <c:pt idx="68">
                  <c:v>-17.101007166283431</c:v>
                </c:pt>
                <c:pt idx="69">
                  <c:v>-12.940952255126033</c:v>
                </c:pt>
                <c:pt idx="70">
                  <c:v>-8.6824088833465201</c:v>
                </c:pt>
                <c:pt idx="71">
                  <c:v>-4.3577871373829158</c:v>
                </c:pt>
                <c:pt idx="72">
                  <c:v>-1.22514845490862E-14</c:v>
                </c:pt>
              </c:numCache>
            </c:numRef>
          </c:yVal>
          <c:smooth val="0"/>
        </c:ser>
        <c:ser>
          <c:idx val="1"/>
          <c:order val="1"/>
          <c:tx>
            <c:v>r1</c:v>
          </c:tx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'rainbow finite'!$O$7:$O$12</c:f>
              <c:numCache>
                <c:formatCode>General</c:formatCode>
                <c:ptCount val="6"/>
                <c:pt idx="0">
                  <c:v>-104</c:v>
                </c:pt>
                <c:pt idx="1">
                  <c:v>-42.623481511564648</c:v>
                </c:pt>
                <c:pt idx="2">
                  <c:v>29.733012887410261</c:v>
                </c:pt>
                <c:pt idx="3">
                  <c:v>37.471982807296534</c:v>
                </c:pt>
                <c:pt idx="4">
                  <c:v>-36.225354299601349</c:v>
                </c:pt>
                <c:pt idx="5">
                  <c:v>-200</c:v>
                </c:pt>
              </c:numCache>
            </c:numRef>
          </c:xVal>
          <c:yVal>
            <c:numRef>
              <c:f>'rainbow finite'!$P$7:$P$12</c:f>
              <c:numCache>
                <c:formatCode>General</c:formatCode>
                <c:ptCount val="6"/>
                <c:pt idx="0">
                  <c:v>0</c:v>
                </c:pt>
                <c:pt idx="1">
                  <c:v>26.138837461396534</c:v>
                </c:pt>
                <c:pt idx="2">
                  <c:v>40.198855016493887</c:v>
                </c:pt>
                <c:pt idx="3">
                  <c:v>-33.103632798979525</c:v>
                </c:pt>
                <c:pt idx="4">
                  <c:v>-34.463367593262767</c:v>
                </c:pt>
                <c:pt idx="5">
                  <c:v>-69.434447605499784</c:v>
                </c:pt>
              </c:numCache>
            </c:numRef>
          </c:yVal>
          <c:smooth val="0"/>
        </c:ser>
        <c:ser>
          <c:idx val="2"/>
          <c:order val="2"/>
          <c:tx>
            <c:v>r2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finite'!$Q$7:$Q$12</c:f>
              <c:numCache>
                <c:formatCode>General</c:formatCode>
                <c:ptCount val="6"/>
                <c:pt idx="0">
                  <c:v>-104</c:v>
                </c:pt>
                <c:pt idx="1">
                  <c:v>-42.819286995326358</c:v>
                </c:pt>
                <c:pt idx="2">
                  <c:v>30.065344796391557</c:v>
                </c:pt>
                <c:pt idx="3">
                  <c:v>36.66260506018218</c:v>
                </c:pt>
                <c:pt idx="4">
                  <c:v>-37.57299188302801</c:v>
                </c:pt>
                <c:pt idx="5">
                  <c:v>-200</c:v>
                </c:pt>
              </c:numCache>
            </c:numRef>
          </c:xVal>
          <c:yVal>
            <c:numRef>
              <c:f>'rainbow finite'!$R$7:$R$12</c:f>
              <c:numCache>
                <c:formatCode>General</c:formatCode>
                <c:ptCount val="6"/>
                <c:pt idx="0">
                  <c:v>0</c:v>
                </c:pt>
                <c:pt idx="1">
                  <c:v>25.816829030922346</c:v>
                </c:pt>
                <c:pt idx="2">
                  <c:v>39.950907903001294</c:v>
                </c:pt>
                <c:pt idx="3">
                  <c:v>-33.997843905181753</c:v>
                </c:pt>
                <c:pt idx="4">
                  <c:v>-32.988941798092156</c:v>
                </c:pt>
                <c:pt idx="5">
                  <c:v>-62.202970053237308</c:v>
                </c:pt>
              </c:numCache>
            </c:numRef>
          </c:yVal>
          <c:smooth val="0"/>
        </c:ser>
        <c:ser>
          <c:idx val="3"/>
          <c:order val="3"/>
          <c:tx>
            <c:v>r3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finite'!$S$7:$S$12</c:f>
              <c:numCache>
                <c:formatCode>General</c:formatCode>
                <c:ptCount val="6"/>
                <c:pt idx="0">
                  <c:v>-104</c:v>
                </c:pt>
                <c:pt idx="1">
                  <c:v>-43.014211324254617</c:v>
                </c:pt>
                <c:pt idx="2">
                  <c:v>30.41040268879059</c:v>
                </c:pt>
                <c:pt idx="3">
                  <c:v>35.803767260540816</c:v>
                </c:pt>
                <c:pt idx="4">
                  <c:v>-38.899637893739595</c:v>
                </c:pt>
                <c:pt idx="5">
                  <c:v>-200</c:v>
                </c:pt>
              </c:numCache>
            </c:numRef>
          </c:xVal>
          <c:yVal>
            <c:numRef>
              <c:f>'rainbow finite'!$T$7:$T$12</c:f>
              <c:numCache>
                <c:formatCode>General</c:formatCode>
                <c:ptCount val="6"/>
                <c:pt idx="0">
                  <c:v>0</c:v>
                </c:pt>
                <c:pt idx="1">
                  <c:v>25.490736045716016</c:v>
                </c:pt>
                <c:pt idx="2">
                  <c:v>39.688882678976967</c:v>
                </c:pt>
                <c:pt idx="3">
                  <c:v>-34.901149693857157</c:v>
                </c:pt>
                <c:pt idx="4">
                  <c:v>-31.413662182813678</c:v>
                </c:pt>
                <c:pt idx="5">
                  <c:v>-54.833401660289155</c:v>
                </c:pt>
              </c:numCache>
            </c:numRef>
          </c:yVal>
          <c:smooth val="0"/>
        </c:ser>
        <c:ser>
          <c:idx val="4"/>
          <c:order val="4"/>
          <c:tx>
            <c:v>r4</c:v>
          </c:tx>
          <c:spPr>
            <a:ln>
              <a:solidFill>
                <a:srgbClr val="FF0000">
                  <a:alpha val="99000"/>
                </a:srgbClr>
              </a:solidFill>
            </a:ln>
          </c:spPr>
          <c:marker>
            <c:symbol val="none"/>
          </c:marker>
          <c:xVal>
            <c:numRef>
              <c:f>'rainbow finite'!$U$7:$U$12</c:f>
              <c:numCache>
                <c:formatCode>General</c:formatCode>
                <c:ptCount val="6"/>
                <c:pt idx="0">
                  <c:v>-104</c:v>
                </c:pt>
                <c:pt idx="1">
                  <c:v>-43.208132198564172</c:v>
                </c:pt>
                <c:pt idx="2">
                  <c:v>30.767428158895981</c:v>
                </c:pt>
                <c:pt idx="3">
                  <c:v>34.894691507665911</c:v>
                </c:pt>
                <c:pt idx="4">
                  <c:v>-40.196066353092753</c:v>
                </c:pt>
                <c:pt idx="5">
                  <c:v>-200</c:v>
                </c:pt>
              </c:numCache>
            </c:numRef>
          </c:xVal>
          <c:yVal>
            <c:numRef>
              <c:f>'rainbow finite'!$V$7:$V$12</c:f>
              <c:numCache>
                <c:formatCode>General</c:formatCode>
                <c:ptCount val="6"/>
                <c:pt idx="0">
                  <c:v>0</c:v>
                </c:pt>
                <c:pt idx="1">
                  <c:v>25.160630197024126</c:v>
                </c:pt>
                <c:pt idx="2">
                  <c:v>39.412756367541398</c:v>
                </c:pt>
                <c:pt idx="3">
                  <c:v>-35.810061499316483</c:v>
                </c:pt>
                <c:pt idx="4">
                  <c:v>-29.736782773826842</c:v>
                </c:pt>
                <c:pt idx="5">
                  <c:v>-47.325712698620585</c:v>
                </c:pt>
              </c:numCache>
            </c:numRef>
          </c:yVal>
          <c:smooth val="0"/>
        </c:ser>
        <c:ser>
          <c:idx val="5"/>
          <c:order val="5"/>
          <c:tx>
            <c:v>r5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finite'!$W$7:$W$12</c:f>
              <c:numCache>
                <c:formatCode>General</c:formatCode>
                <c:ptCount val="6"/>
                <c:pt idx="0">
                  <c:v>-104</c:v>
                </c:pt>
                <c:pt idx="1">
                  <c:v>-43.400931235637827</c:v>
                </c:pt>
                <c:pt idx="2">
                  <c:v>31.135659455088593</c:v>
                </c:pt>
                <c:pt idx="3">
                  <c:v>33.934733228431838</c:v>
                </c:pt>
                <c:pt idx="4">
                  <c:v>-41.452861970918008</c:v>
                </c:pt>
                <c:pt idx="5">
                  <c:v>-200</c:v>
                </c:pt>
              </c:numCache>
            </c:numRef>
          </c:xVal>
          <c:yVal>
            <c:numRef>
              <c:f>'rainbow finite'!$X$7:$X$12</c:f>
              <c:numCache>
                <c:formatCode>General</c:formatCode>
                <c:ptCount val="6"/>
                <c:pt idx="0">
                  <c:v>0</c:v>
                </c:pt>
                <c:pt idx="1">
                  <c:v>24.826581880706758</c:v>
                </c:pt>
                <c:pt idx="2">
                  <c:v>39.122508997976503</c:v>
                </c:pt>
                <c:pt idx="3">
                  <c:v>-36.721027773132434</c:v>
                </c:pt>
                <c:pt idx="4">
                  <c:v>-27.958187252037987</c:v>
                </c:pt>
                <c:pt idx="5">
                  <c:v>-39.676797292387981</c:v>
                </c:pt>
              </c:numCache>
            </c:numRef>
          </c:yVal>
          <c:smooth val="0"/>
        </c:ser>
        <c:ser>
          <c:idx val="6"/>
          <c:order val="6"/>
          <c:tx>
            <c:v>r6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finite'!$Y$7:$Y$12</c:f>
              <c:numCache>
                <c:formatCode>General</c:formatCode>
                <c:ptCount val="6"/>
                <c:pt idx="0">
                  <c:v>-104</c:v>
                </c:pt>
                <c:pt idx="1">
                  <c:v>-43.592493790907945</c:v>
                </c:pt>
                <c:pt idx="2">
                  <c:v>31.514333407097006</c:v>
                </c:pt>
                <c:pt idx="3">
                  <c:v>32.923391408713989</c:v>
                </c:pt>
                <c:pt idx="4">
                  <c:v>-42.660469013744809</c:v>
                </c:pt>
                <c:pt idx="5">
                  <c:v>-200</c:v>
                </c:pt>
              </c:numCache>
            </c:numRef>
          </c:xVal>
          <c:yVal>
            <c:numRef>
              <c:f>'rainbow finite'!$Z$7:$Z$12</c:f>
              <c:numCache>
                <c:formatCode>General</c:formatCode>
                <c:ptCount val="6"/>
                <c:pt idx="0">
                  <c:v>0</c:v>
                </c:pt>
                <c:pt idx="1">
                  <c:v>24.48866033676919</c:v>
                </c:pt>
                <c:pt idx="2">
                  <c:v>38.818124502689841</c:v>
                </c:pt>
                <c:pt idx="3">
                  <c:v>-37.630443767628066</c:v>
                </c:pt>
                <c:pt idx="4">
                  <c:v>-26.078427550895753</c:v>
                </c:pt>
                <c:pt idx="5">
                  <c:v>-31.88039013724368</c:v>
                </c:pt>
              </c:numCache>
            </c:numRef>
          </c:yVal>
          <c:smooth val="0"/>
        </c:ser>
        <c:ser>
          <c:idx val="7"/>
          <c:order val="7"/>
          <c:tx>
            <c:v>r7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finite'!$AA$7:$AA$12</c:f>
              <c:numCache>
                <c:formatCode>General</c:formatCode>
                <c:ptCount val="6"/>
                <c:pt idx="0">
                  <c:v>-104</c:v>
                </c:pt>
                <c:pt idx="1">
                  <c:v>-43.782708792389265</c:v>
                </c:pt>
                <c:pt idx="2">
                  <c:v>31.902687188356033</c:v>
                </c:pt>
                <c:pt idx="3">
                  <c:v>31.860317915896395</c:v>
                </c:pt>
                <c:pt idx="4">
                  <c:v>-43.809244194039394</c:v>
                </c:pt>
                <c:pt idx="5">
                  <c:v>-200</c:v>
                </c:pt>
              </c:numCache>
            </c:numRef>
          </c:xVal>
          <c:yVal>
            <c:numRef>
              <c:f>'rainbow finite'!$AB$7:$AB$12</c:f>
              <c:numCache>
                <c:formatCode>General</c:formatCode>
                <c:ptCount val="6"/>
                <c:pt idx="0">
                  <c:v>0</c:v>
                </c:pt>
                <c:pt idx="1">
                  <c:v>24.146933776379143</c:v>
                </c:pt>
                <c:pt idx="2">
                  <c:v>38.499591558377652</c:v>
                </c:pt>
                <c:pt idx="3">
                  <c:v>-38.534661569786891</c:v>
                </c:pt>
                <c:pt idx="4">
                  <c:v>-24.098757709621164</c:v>
                </c:pt>
                <c:pt idx="5">
                  <c:v>-23.926946069432962</c:v>
                </c:pt>
              </c:numCache>
            </c:numRef>
          </c:yVal>
          <c:smooth val="0"/>
        </c:ser>
        <c:ser>
          <c:idx val="9"/>
          <c:order val="8"/>
          <c:tx>
            <c:v>r8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finite'!$AC$7:$AC$12</c:f>
              <c:numCache>
                <c:formatCode>General</c:formatCode>
                <c:ptCount val="6"/>
                <c:pt idx="0">
                  <c:v>-104</c:v>
                </c:pt>
                <c:pt idx="1">
                  <c:v>-43.971468587674451</c:v>
                </c:pt>
                <c:pt idx="2">
                  <c:v>32.299959921623078</c:v>
                </c:pt>
                <c:pt idx="3">
                  <c:v>30.745325884602348</c:v>
                </c:pt>
                <c:pt idx="4">
                  <c:v>-44.889513239612874</c:v>
                </c:pt>
                <c:pt idx="5">
                  <c:v>-200</c:v>
                </c:pt>
              </c:numCache>
            </c:numRef>
          </c:xVal>
          <c:yVal>
            <c:numRef>
              <c:f>'rainbow finite'!$AD$7:$AD$12</c:f>
              <c:numCache>
                <c:formatCode>General</c:formatCode>
                <c:ptCount val="6"/>
                <c:pt idx="0">
                  <c:v>0</c:v>
                </c:pt>
                <c:pt idx="1">
                  <c:v>23.801469497557477</c:v>
                </c:pt>
                <c:pt idx="2">
                  <c:v>38.166904368333867</c:v>
                </c:pt>
                <c:pt idx="3">
                  <c:v>-39.43000045967031</c:v>
                </c:pt>
                <c:pt idx="4">
                  <c:v>-22.02116257400187</c:v>
                </c:pt>
                <c:pt idx="5">
                  <c:v>-15.803469405902863</c:v>
                </c:pt>
              </c:numCache>
            </c:numRef>
          </c:yVal>
          <c:smooth val="0"/>
        </c:ser>
        <c:ser>
          <c:idx val="8"/>
          <c:order val="9"/>
          <c:tx>
            <c:v>r9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finite'!$AE$7:$AE$12</c:f>
              <c:numCache>
                <c:formatCode>General</c:formatCode>
                <c:ptCount val="6"/>
                <c:pt idx="0">
                  <c:v>-104</c:v>
                </c:pt>
                <c:pt idx="1">
                  <c:v>-44.15866880232317</c:v>
                </c:pt>
                <c:pt idx="2">
                  <c:v>32.70539413652407</c:v>
                </c:pt>
                <c:pt idx="3">
                  <c:v>29.578397144495899</c:v>
                </c:pt>
                <c:pt idx="4">
                  <c:v>-45.891630748430167</c:v>
                </c:pt>
                <c:pt idx="5">
                  <c:v>-200</c:v>
                </c:pt>
              </c:numCache>
            </c:numRef>
          </c:xVal>
          <c:yVal>
            <c:numRef>
              <c:f>'rainbow finite'!$AF$7:$AF$12</c:f>
              <c:numCache>
                <c:formatCode>General</c:formatCode>
                <c:ptCount val="6"/>
                <c:pt idx="0">
                  <c:v>0</c:v>
                </c:pt>
                <c:pt idx="1">
                  <c:v>23.452333990601666</c:v>
                </c:pt>
                <c:pt idx="2">
                  <c:v>37.820063384063978</c:v>
                </c:pt>
                <c:pt idx="3">
                  <c:v>-40.31275756336295</c:v>
                </c:pt>
                <c:pt idx="4">
                  <c:v>-19.848380973009835</c:v>
                </c:pt>
                <c:pt idx="5">
                  <c:v>-7.4932783413435207</c:v>
                </c:pt>
              </c:numCache>
            </c:numRef>
          </c:yVal>
          <c:smooth val="0"/>
        </c:ser>
        <c:ser>
          <c:idx val="10"/>
          <c:order val="10"/>
          <c:tx>
            <c:v>r10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finite'!$AG$7:$AG$12</c:f>
              <c:numCache>
                <c:formatCode>General</c:formatCode>
                <c:ptCount val="6"/>
                <c:pt idx="0">
                  <c:v>-104</c:v>
                </c:pt>
                <c:pt idx="1">
                  <c:v>-44.344208208681749</c:v>
                </c:pt>
                <c:pt idx="2">
                  <c:v>33.118237088018645</c:v>
                </c:pt>
                <c:pt idx="3">
                  <c:v>28.359688675141232</c:v>
                </c:pt>
                <c:pt idx="4">
                  <c:v>-46.806042884810928</c:v>
                </c:pt>
                <c:pt idx="5">
                  <c:v>-200</c:v>
                </c:pt>
              </c:numCache>
            </c:numRef>
          </c:xVal>
          <c:yVal>
            <c:numRef>
              <c:f>'rainbow finite'!$AH$7:$AH$12</c:f>
              <c:numCache>
                <c:formatCode>General</c:formatCode>
                <c:ptCount val="6"/>
                <c:pt idx="0">
                  <c:v>0</c:v>
                </c:pt>
                <c:pt idx="1">
                  <c:v>23.099593034187468</c:v>
                </c:pt>
                <c:pt idx="2">
                  <c:v>37.459075965402384</c:v>
                </c:pt>
                <c:pt idx="3">
                  <c:v>-41.179218766861837</c:v>
                </c:pt>
                <c:pt idx="4">
                  <c:v>-17.583923039675785</c:v>
                </c:pt>
                <c:pt idx="5">
                  <c:v>1.0243128398083847</c:v>
                </c:pt>
              </c:numCache>
            </c:numRef>
          </c:yVal>
          <c:smooth val="0"/>
        </c:ser>
        <c:ser>
          <c:idx val="11"/>
          <c:order val="11"/>
          <c:tx>
            <c:v>r11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finite'!$AI$7:$AI$12</c:f>
              <c:numCache>
                <c:formatCode>General</c:formatCode>
                <c:ptCount val="6"/>
                <c:pt idx="0">
                  <c:v>-104</c:v>
                </c:pt>
                <c:pt idx="1">
                  <c:v>-44.527988604264102</c:v>
                </c:pt>
                <c:pt idx="2">
                  <c:v>33.537741944924385</c:v>
                </c:pt>
                <c:pt idx="3">
                  <c:v>27.089538078503228</c:v>
                </c:pt>
                <c:pt idx="4">
                  <c:v>-47.623352428882058</c:v>
                </c:pt>
                <c:pt idx="5">
                  <c:v>-200</c:v>
                </c:pt>
              </c:numCache>
            </c:numRef>
          </c:xVal>
          <c:yVal>
            <c:numRef>
              <c:f>'rainbow finite'!$AJ$7:$AJ$12</c:f>
              <c:numCache>
                <c:formatCode>General</c:formatCode>
                <c:ptCount val="6"/>
                <c:pt idx="0">
                  <c:v>0</c:v>
                </c:pt>
                <c:pt idx="1">
                  <c:v>22.743311782995161</c:v>
                </c:pt>
                <c:pt idx="2">
                  <c:v>37.083956979206789</c:v>
                </c:pt>
                <c:pt idx="3">
                  <c:v>-42.025669854189402</c:v>
                </c:pt>
                <c:pt idx="4">
                  <c:v>-15.232081388782493</c:v>
                </c:pt>
                <c:pt idx="5">
                  <c:v>9.774414691169806</c:v>
                </c:pt>
              </c:numCache>
            </c:numRef>
          </c:yVal>
          <c:smooth val="0"/>
        </c:ser>
        <c:ser>
          <c:idx val="12"/>
          <c:order val="12"/>
          <c:tx>
            <c:v>r12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finite'!$AK$7:$AK$12</c:f>
              <c:numCache>
                <c:formatCode>General</c:formatCode>
                <c:ptCount val="6"/>
                <c:pt idx="0">
                  <c:v>-104</c:v>
                </c:pt>
                <c:pt idx="1">
                  <c:v>-44.709914698908477</c:v>
                </c:pt>
                <c:pt idx="2">
                  <c:v>33.963168857642209</c:v>
                </c:pt>
                <c:pt idx="3">
                  <c:v>25.768468064780642</c:v>
                </c:pt>
                <c:pt idx="4">
                  <c:v>-48.334385652462643</c:v>
                </c:pt>
                <c:pt idx="5">
                  <c:v>-200</c:v>
                </c:pt>
              </c:numCache>
            </c:numRef>
          </c:xVal>
          <c:yVal>
            <c:numRef>
              <c:f>'rainbow finite'!$AL$7:$AL$12</c:f>
              <c:numCache>
                <c:formatCode>General</c:formatCode>
                <c:ptCount val="6"/>
                <c:pt idx="0">
                  <c:v>0</c:v>
                </c:pt>
                <c:pt idx="1">
                  <c:v>22.3835548476181</c:v>
                </c:pt>
                <c:pt idx="2">
                  <c:v>36.694729337430495</c:v>
                </c:pt>
                <c:pt idx="3">
                  <c:v>-42.848407830331112</c:v>
                </c:pt>
                <c:pt idx="4">
                  <c:v>-12.797935911662231</c:v>
                </c:pt>
                <c:pt idx="5">
                  <c:v>18.787112926746737</c:v>
                </c:pt>
              </c:numCache>
            </c:numRef>
          </c:yVal>
          <c:smooth val="0"/>
        </c:ser>
        <c:ser>
          <c:idx val="13"/>
          <c:order val="13"/>
          <c:tx>
            <c:v>r13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finite'!$AM$7:$AM$12</c:f>
              <c:numCache>
                <c:formatCode>General</c:formatCode>
                <c:ptCount val="6"/>
                <c:pt idx="0">
                  <c:v>-104</c:v>
                </c:pt>
                <c:pt idx="1">
                  <c:v>-44.889894009998571</c:v>
                </c:pt>
                <c:pt idx="2">
                  <c:v>34.393785914108108</c:v>
                </c:pt>
                <c:pt idx="3">
                  <c:v>24.397189951920055</c:v>
                </c:pt>
                <c:pt idx="4">
                  <c:v>-48.930260461632173</c:v>
                </c:pt>
                <c:pt idx="5">
                  <c:v>-200</c:v>
                </c:pt>
              </c:numCache>
            </c:numRef>
          </c:xVal>
          <c:yVal>
            <c:numRef>
              <c:f>'rainbow finite'!$AN$7:$AN$12</c:f>
              <c:numCache>
                <c:formatCode>General</c:formatCode>
                <c:ptCount val="6"/>
                <c:pt idx="0">
                  <c:v>0</c:v>
                </c:pt>
                <c:pt idx="1">
                  <c:v>22.020386367434483</c:v>
                </c:pt>
                <c:pt idx="2">
                  <c:v>36.291424475962621</c:v>
                </c:pt>
                <c:pt idx="3">
                  <c:v>-43.643752387368473</c:v>
                </c:pt>
                <c:pt idx="4">
                  <c:v>-10.287351999267594</c:v>
                </c:pt>
                <c:pt idx="5">
                  <c:v>28.098181850169695</c:v>
                </c:pt>
              </c:numCache>
            </c:numRef>
          </c:yVal>
          <c:smooth val="0"/>
        </c:ser>
        <c:ser>
          <c:idx val="14"/>
          <c:order val="14"/>
          <c:tx>
            <c:v>r14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finite'!$AO$7:$AO$12</c:f>
              <c:numCache>
                <c:formatCode>General</c:formatCode>
                <c:ptCount val="6"/>
                <c:pt idx="0">
                  <c:v>-104</c:v>
                </c:pt>
                <c:pt idx="1">
                  <c:v>-45.067836765104218</c:v>
                </c:pt>
                <c:pt idx="2">
                  <c:v>34.828869992778678</c:v>
                </c:pt>
                <c:pt idx="3">
                  <c:v>22.97660618341278</c:v>
                </c:pt>
                <c:pt idx="4">
                  <c:v>-49.402455219279837</c:v>
                </c:pt>
                <c:pt idx="5">
                  <c:v>-200</c:v>
                </c:pt>
              </c:numCache>
            </c:numRef>
          </c:xVal>
          <c:yVal>
            <c:numRef>
              <c:f>'rainbow finite'!$AP$7:$AP$12</c:f>
              <c:numCache>
                <c:formatCode>General</c:formatCode>
                <c:ptCount val="6"/>
                <c:pt idx="0">
                  <c:v>0</c:v>
                </c:pt>
                <c:pt idx="1">
                  <c:v>21.653870077053679</c:v>
                </c:pt>
                <c:pt idx="2">
                  <c:v>35.874082776095072</c:v>
                </c:pt>
                <c:pt idx="3">
                  <c:v>-44.408057470377578</c:v>
                </c:pt>
                <c:pt idx="4">
                  <c:v>-7.7069720582762073</c:v>
                </c:pt>
                <c:pt idx="5">
                  <c:v>37.750005043775033</c:v>
                </c:pt>
              </c:numCache>
            </c:numRef>
          </c:yVal>
          <c:smooth val="0"/>
        </c:ser>
        <c:ser>
          <c:idx val="15"/>
          <c:order val="15"/>
          <c:tx>
            <c:v>r15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finite'!$AQ$7:$AQ$12</c:f>
              <c:numCache>
                <c:formatCode>General</c:formatCode>
                <c:ptCount val="6"/>
                <c:pt idx="0">
                  <c:v>-104</c:v>
                </c:pt>
                <c:pt idx="1">
                  <c:v>-45.243655811455874</c:v>
                </c:pt>
                <c:pt idx="2">
                  <c:v>35.267707521162315</c:v>
                </c:pt>
                <c:pt idx="3">
                  <c:v>21.507811872870803</c:v>
                </c:pt>
                <c:pt idx="4">
                  <c:v>-49.742877640132491</c:v>
                </c:pt>
                <c:pt idx="5">
                  <c:v>-200</c:v>
                </c:pt>
              </c:numCache>
            </c:numRef>
          </c:xVal>
          <c:yVal>
            <c:numRef>
              <c:f>'rainbow finite'!$AR$7:$AR$12</c:f>
              <c:numCache>
                <c:formatCode>General</c:formatCode>
                <c:ptCount val="6"/>
                <c:pt idx="0">
                  <c:v>0</c:v>
                </c:pt>
                <c:pt idx="1">
                  <c:v>21.284069366888353</c:v>
                </c:pt>
                <c:pt idx="2">
                  <c:v>35.442753930835444</c:v>
                </c:pt>
                <c:pt idx="3">
                  <c:v>-45.137722898272102</c:v>
                </c:pt>
                <c:pt idx="4">
                  <c:v>-5.0642002407889963</c:v>
                </c:pt>
                <c:pt idx="5">
                  <c:v>47.792762107174262</c:v>
                </c:pt>
              </c:numCache>
            </c:numRef>
          </c:yVal>
          <c:smooth val="0"/>
        </c:ser>
        <c:ser>
          <c:idx val="16"/>
          <c:order val="16"/>
          <c:tx>
            <c:v>r16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finite'!$AS$7:$AS$12</c:f>
              <c:numCache>
                <c:formatCode>General</c:formatCode>
                <c:ptCount val="6"/>
                <c:pt idx="0">
                  <c:v>-104</c:v>
                </c:pt>
                <c:pt idx="1">
                  <c:v>-45.417266531720344</c:v>
                </c:pt>
                <c:pt idx="2">
                  <c:v>35.709595148051278</c:v>
                </c:pt>
                <c:pt idx="3">
                  <c:v>19.99209538744557</c:v>
                </c:pt>
                <c:pt idx="4">
                  <c:v>-49.943933136232268</c:v>
                </c:pt>
                <c:pt idx="5">
                  <c:v>-200</c:v>
                </c:pt>
              </c:numCache>
            </c:numRef>
          </c:xVal>
          <c:yVal>
            <c:numRef>
              <c:f>'rainbow finite'!$AT$7:$AT$12</c:f>
              <c:numCache>
                <c:formatCode>General</c:formatCode>
                <c:ptCount val="6"/>
                <c:pt idx="0">
                  <c:v>0</c:v>
                </c:pt>
                <c:pt idx="1">
                  <c:v>20.911047338349061</c:v>
                </c:pt>
                <c:pt idx="2">
                  <c:v>34.99749725855083</c:v>
                </c:pt>
                <c:pt idx="3">
                  <c:v>-45.829205993768618</c:v>
                </c:pt>
                <c:pt idx="4">
                  <c:v>-2.3671803656588688</c:v>
                </c:pt>
                <c:pt idx="5">
                  <c:v>58.28596087679054</c:v>
                </c:pt>
              </c:numCache>
            </c:numRef>
          </c:yVal>
          <c:smooth val="0"/>
        </c:ser>
        <c:ser>
          <c:idx val="17"/>
          <c:order val="17"/>
          <c:tx>
            <c:v>r17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finite'!$AU$7:$AU$12</c:f>
              <c:numCache>
                <c:formatCode>General</c:formatCode>
                <c:ptCount val="6"/>
                <c:pt idx="0">
                  <c:v>-104</c:v>
                </c:pt>
                <c:pt idx="1">
                  <c:v>-45.588586765592723</c:v>
                </c:pt>
                <c:pt idx="2">
                  <c:v>36.153840337208699</c:v>
                </c:pt>
                <c:pt idx="3">
                  <c:v>18.430937985438657</c:v>
                </c:pt>
                <c:pt idx="4">
                  <c:v>-49.998591982643113</c:v>
                </c:pt>
                <c:pt idx="5">
                  <c:v>-200</c:v>
                </c:pt>
              </c:numCache>
            </c:numRef>
          </c:xVal>
          <c:yVal>
            <c:numRef>
              <c:f>'rainbow finite'!$AV$7:$AV$12</c:f>
              <c:numCache>
                <c:formatCode>General</c:formatCode>
                <c:ptCount val="6"/>
                <c:pt idx="0">
                  <c:v>0</c:v>
                </c:pt>
                <c:pt idx="1">
                  <c:v>20.534866854109975</c:v>
                </c:pt>
                <c:pt idx="2">
                  <c:v>34.538381966612462</c:v>
                </c:pt>
                <c:pt idx="3">
                  <c:v>-46.479033176012969</c:v>
                </c:pt>
                <c:pt idx="4">
                  <c:v>0.37523293189108936</c:v>
                </c:pt>
                <c:pt idx="5">
                  <c:v>69.300423941802308</c:v>
                </c:pt>
              </c:numCache>
            </c:numRef>
          </c:yVal>
          <c:smooth val="0"/>
        </c:ser>
        <c:ser>
          <c:idx val="18"/>
          <c:order val="18"/>
          <c:tx>
            <c:v>r18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finite'!$AW$7:$AW$12</c:f>
              <c:numCache>
                <c:formatCode>General</c:formatCode>
                <c:ptCount val="6"/>
                <c:pt idx="0">
                  <c:v>-104</c:v>
                </c:pt>
                <c:pt idx="1">
                  <c:v>-45.757536736762255</c:v>
                </c:pt>
                <c:pt idx="2">
                  <c:v>36.599761889833218</c:v>
                </c:pt>
                <c:pt idx="3">
                  <c:v>16.826012526480866</c:v>
                </c:pt>
                <c:pt idx="4">
                  <c:v>-49.900454671323814</c:v>
                </c:pt>
                <c:pt idx="5">
                  <c:v>-200</c:v>
                </c:pt>
              </c:numCache>
            </c:numRef>
          </c:xVal>
          <c:yVal>
            <c:numRef>
              <c:f>'rainbow finite'!$AX$7:$AX$12</c:f>
              <c:numCache>
                <c:formatCode>General</c:formatCode>
                <c:ptCount val="6"/>
                <c:pt idx="0">
                  <c:v>0</c:v>
                </c:pt>
                <c:pt idx="1">
                  <c:v>20.15559058385173</c:v>
                </c:pt>
                <c:pt idx="2">
                  <c:v>34.065487367825988</c:v>
                </c:pt>
                <c:pt idx="3">
                  <c:v>-47.083811469110152</c:v>
                </c:pt>
                <c:pt idx="4">
                  <c:v>3.1535097265043639</c:v>
                </c:pt>
                <c:pt idx="5">
                  <c:v>80.920880604157418</c:v>
                </c:pt>
              </c:numCache>
            </c:numRef>
          </c:yVal>
          <c:smooth val="0"/>
        </c:ser>
        <c:ser>
          <c:idx val="19"/>
          <c:order val="19"/>
          <c:tx>
            <c:v>r19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finite'!$AY$7:$AY$12</c:f>
              <c:numCache>
                <c:formatCode>General</c:formatCode>
                <c:ptCount val="6"/>
                <c:pt idx="0">
                  <c:v>-104</c:v>
                </c:pt>
                <c:pt idx="1">
                  <c:v>-45.924038984848366</c:v>
                </c:pt>
                <c:pt idx="2">
                  <c:v>37.046690402673178</c:v>
                </c:pt>
                <c:pt idx="3">
                  <c:v>15.179181275459767</c:v>
                </c:pt>
                <c:pt idx="4">
                  <c:v>-49.643814825570395</c:v>
                </c:pt>
                <c:pt idx="5">
                  <c:v>-200</c:v>
                </c:pt>
              </c:numCache>
            </c:numRef>
          </c:xVal>
          <c:yVal>
            <c:numRef>
              <c:f>'rainbow finite'!$AZ$7:$AZ$12</c:f>
              <c:numCache>
                <c:formatCode>General</c:formatCode>
                <c:ptCount val="6"/>
                <c:pt idx="0">
                  <c:v>0</c:v>
                </c:pt>
                <c:pt idx="1">
                  <c:v>19.773281045848911</c:v>
                </c:pt>
                <c:pt idx="2">
                  <c:v>33.578903052489416</c:v>
                </c:pt>
                <c:pt idx="3">
                  <c:v>-47.640239879819369</c:v>
                </c:pt>
                <c:pt idx="4">
                  <c:v>5.9574868497108309</c:v>
                </c:pt>
                <c:pt idx="5">
                  <c:v>93.249377285322922</c:v>
                </c:pt>
              </c:numCache>
            </c:numRef>
          </c:yVal>
          <c:smooth val="0"/>
        </c:ser>
        <c:ser>
          <c:idx val="21"/>
          <c:order val="20"/>
          <c:tx>
            <c:v>alfarisi_point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'rainbow finite'!$L$30:$L$35</c:f>
              <c:numCache>
                <c:formatCode>General</c:formatCode>
                <c:ptCount val="6"/>
                <c:pt idx="0">
                  <c:v>-104</c:v>
                </c:pt>
                <c:pt idx="1">
                  <c:v>-40.912296585542997</c:v>
                </c:pt>
                <c:pt idx="2">
                  <c:v>34.887837631798455</c:v>
                </c:pt>
                <c:pt idx="3">
                  <c:v>29.808303942260395</c:v>
                </c:pt>
                <c:pt idx="4">
                  <c:v>-44.37513206307927</c:v>
                </c:pt>
                <c:pt idx="5">
                  <c:v>-200</c:v>
                </c:pt>
              </c:numCache>
            </c:numRef>
          </c:xVal>
          <c:yVal>
            <c:numRef>
              <c:f>'rainbow finite'!$M$30:$M$35</c:f>
              <c:numCache>
                <c:formatCode>General</c:formatCode>
                <c:ptCount val="6"/>
                <c:pt idx="0">
                  <c:v>0</c:v>
                </c:pt>
                <c:pt idx="1">
                  <c:v>28.743416430490075</c:v>
                </c:pt>
                <c:pt idx="2">
                  <c:v>35.816738899253068</c:v>
                </c:pt>
                <c:pt idx="3">
                  <c:v>-40.143056885167873</c:v>
                </c:pt>
                <c:pt idx="4">
                  <c:v>-23.040131388172984</c:v>
                </c:pt>
                <c:pt idx="5">
                  <c:v>-2.13295075919795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696512"/>
        <c:axId val="131698048"/>
      </c:scatterChart>
      <c:valAx>
        <c:axId val="131696512"/>
        <c:scaling>
          <c:orientation val="minMax"/>
          <c:max val="100"/>
          <c:min val="-250"/>
        </c:scaling>
        <c:delete val="0"/>
        <c:axPos val="b"/>
        <c:numFmt formatCode="General" sourceLinked="1"/>
        <c:majorTickMark val="out"/>
        <c:minorTickMark val="none"/>
        <c:tickLblPos val="nextTo"/>
        <c:crossAx val="131698048"/>
        <c:crosses val="autoZero"/>
        <c:crossBetween val="midCat"/>
      </c:valAx>
      <c:valAx>
        <c:axId val="131698048"/>
        <c:scaling>
          <c:orientation val="minMax"/>
          <c:max val="100"/>
          <c:min val="-15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1696512"/>
        <c:crosses val="autoZero"/>
        <c:crossBetween val="midCat"/>
      </c:valAx>
      <c:spPr>
        <a:noFill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000000000000003E-2"/>
          <c:y val="4.6770924467774859E-2"/>
          <c:w val="0.90469541576279611"/>
          <c:h val="0.72232670953101874"/>
        </c:manualLayout>
      </c:layout>
      <c:scatterChart>
        <c:scatterStyle val="lineMarker"/>
        <c:varyColors val="0"/>
        <c:ser>
          <c:idx val="20"/>
          <c:order val="21"/>
          <c:marker>
            <c:symbol val="none"/>
          </c:marker>
          <c:xVal>
            <c:numRef>
              <c:f>RAINBOW!$BI$56:$BI$128</c:f>
              <c:numCache>
                <c:formatCode>General</c:formatCode>
                <c:ptCount val="73"/>
                <c:pt idx="0">
                  <c:v>50</c:v>
                </c:pt>
                <c:pt idx="1">
                  <c:v>49.80973490458728</c:v>
                </c:pt>
                <c:pt idx="2">
                  <c:v>49.240387650610401</c:v>
                </c:pt>
                <c:pt idx="3">
                  <c:v>48.296291314453413</c:v>
                </c:pt>
                <c:pt idx="4">
                  <c:v>46.984631039295422</c:v>
                </c:pt>
                <c:pt idx="5">
                  <c:v>45.315389351832494</c:v>
                </c:pt>
                <c:pt idx="6">
                  <c:v>43.301270189221938</c:v>
                </c:pt>
                <c:pt idx="7">
                  <c:v>40.957602214449587</c:v>
                </c:pt>
                <c:pt idx="8">
                  <c:v>38.302222155948904</c:v>
                </c:pt>
                <c:pt idx="9">
                  <c:v>35.355339059327378</c:v>
                </c:pt>
                <c:pt idx="10">
                  <c:v>32.139380484326971</c:v>
                </c:pt>
                <c:pt idx="11">
                  <c:v>28.678821817552308</c:v>
                </c:pt>
                <c:pt idx="12">
                  <c:v>25.000000000000007</c:v>
                </c:pt>
                <c:pt idx="13">
                  <c:v>21.130913087034973</c:v>
                </c:pt>
                <c:pt idx="14">
                  <c:v>17.101007166283441</c:v>
                </c:pt>
                <c:pt idx="15">
                  <c:v>12.940952255126037</c:v>
                </c:pt>
                <c:pt idx="16">
                  <c:v>8.6824088833465201</c:v>
                </c:pt>
                <c:pt idx="17">
                  <c:v>4.3577871373829069</c:v>
                </c:pt>
                <c:pt idx="18">
                  <c:v>3.06287113727155E-15</c:v>
                </c:pt>
                <c:pt idx="19">
                  <c:v>-4.3577871373829113</c:v>
                </c:pt>
                <c:pt idx="20">
                  <c:v>-8.6824088833465147</c:v>
                </c:pt>
                <c:pt idx="21">
                  <c:v>-12.940952255126042</c:v>
                </c:pt>
                <c:pt idx="22">
                  <c:v>-17.101007166283434</c:v>
                </c:pt>
                <c:pt idx="23">
                  <c:v>-21.130913087034966</c:v>
                </c:pt>
                <c:pt idx="24">
                  <c:v>-24.999999999999989</c:v>
                </c:pt>
                <c:pt idx="25">
                  <c:v>-28.678821817552308</c:v>
                </c:pt>
                <c:pt idx="26">
                  <c:v>-32.139380484326971</c:v>
                </c:pt>
                <c:pt idx="27">
                  <c:v>-35.35533905932737</c:v>
                </c:pt>
                <c:pt idx="28">
                  <c:v>-38.302222155948897</c:v>
                </c:pt>
                <c:pt idx="29">
                  <c:v>-40.957602214449594</c:v>
                </c:pt>
                <c:pt idx="30">
                  <c:v>-43.301270189221938</c:v>
                </c:pt>
                <c:pt idx="31">
                  <c:v>-45.315389351832494</c:v>
                </c:pt>
                <c:pt idx="32">
                  <c:v>-46.984631039295415</c:v>
                </c:pt>
                <c:pt idx="33">
                  <c:v>-48.296291314453413</c:v>
                </c:pt>
                <c:pt idx="34">
                  <c:v>-49.240387650610401</c:v>
                </c:pt>
                <c:pt idx="35">
                  <c:v>-49.80973490458728</c:v>
                </c:pt>
                <c:pt idx="36">
                  <c:v>-50</c:v>
                </c:pt>
                <c:pt idx="37">
                  <c:v>-49.80973490458728</c:v>
                </c:pt>
                <c:pt idx="38">
                  <c:v>-49.240387650610401</c:v>
                </c:pt>
                <c:pt idx="39">
                  <c:v>-48.296291314453413</c:v>
                </c:pt>
                <c:pt idx="40">
                  <c:v>-46.984631039295422</c:v>
                </c:pt>
                <c:pt idx="41">
                  <c:v>-45.315389351832501</c:v>
                </c:pt>
                <c:pt idx="42">
                  <c:v>-43.301270189221931</c:v>
                </c:pt>
                <c:pt idx="43">
                  <c:v>-40.957602214449587</c:v>
                </c:pt>
                <c:pt idx="44">
                  <c:v>-38.302222155948904</c:v>
                </c:pt>
                <c:pt idx="45">
                  <c:v>-35.355339059327385</c:v>
                </c:pt>
                <c:pt idx="46">
                  <c:v>-32.139380484326971</c:v>
                </c:pt>
                <c:pt idx="47">
                  <c:v>-28.678821817552318</c:v>
                </c:pt>
                <c:pt idx="48">
                  <c:v>-25.000000000000021</c:v>
                </c:pt>
                <c:pt idx="49">
                  <c:v>-21.130913087034958</c:v>
                </c:pt>
                <c:pt idx="50">
                  <c:v>-17.101007166283427</c:v>
                </c:pt>
                <c:pt idx="51">
                  <c:v>-12.940952255126032</c:v>
                </c:pt>
                <c:pt idx="52">
                  <c:v>-8.6824088833465165</c:v>
                </c:pt>
                <c:pt idx="53">
                  <c:v>-4.3577871373829122</c:v>
                </c:pt>
                <c:pt idx="54">
                  <c:v>-9.1886134118146501E-15</c:v>
                </c:pt>
                <c:pt idx="55">
                  <c:v>4.3577871373828945</c:v>
                </c:pt>
                <c:pt idx="56">
                  <c:v>8.6824088833464987</c:v>
                </c:pt>
                <c:pt idx="57">
                  <c:v>12.940952255126014</c:v>
                </c:pt>
                <c:pt idx="58">
                  <c:v>17.101007166283448</c:v>
                </c:pt>
                <c:pt idx="59">
                  <c:v>21.13091308703498</c:v>
                </c:pt>
                <c:pt idx="60">
                  <c:v>25.000000000000007</c:v>
                </c:pt>
                <c:pt idx="61">
                  <c:v>28.678821817552304</c:v>
                </c:pt>
                <c:pt idx="62">
                  <c:v>32.139380484326963</c:v>
                </c:pt>
                <c:pt idx="63">
                  <c:v>35.35533905932737</c:v>
                </c:pt>
                <c:pt idx="64">
                  <c:v>38.30222215594889</c:v>
                </c:pt>
                <c:pt idx="65">
                  <c:v>40.957602214449579</c:v>
                </c:pt>
                <c:pt idx="66">
                  <c:v>43.301270189221917</c:v>
                </c:pt>
                <c:pt idx="67">
                  <c:v>45.315389351832501</c:v>
                </c:pt>
                <c:pt idx="68">
                  <c:v>46.984631039295422</c:v>
                </c:pt>
                <c:pt idx="69">
                  <c:v>48.296291314453413</c:v>
                </c:pt>
                <c:pt idx="70">
                  <c:v>49.240387650610401</c:v>
                </c:pt>
                <c:pt idx="71">
                  <c:v>49.80973490458728</c:v>
                </c:pt>
                <c:pt idx="72">
                  <c:v>50</c:v>
                </c:pt>
              </c:numCache>
            </c:numRef>
          </c:xVal>
          <c:yVal>
            <c:numRef>
              <c:f>RAINBOW!$BJ$56:$BJ$128</c:f>
              <c:numCache>
                <c:formatCode>General</c:formatCode>
                <c:ptCount val="73"/>
                <c:pt idx="0">
                  <c:v>0</c:v>
                </c:pt>
                <c:pt idx="1">
                  <c:v>4.3577871373829087</c:v>
                </c:pt>
                <c:pt idx="2">
                  <c:v>8.6824088833465165</c:v>
                </c:pt>
                <c:pt idx="3">
                  <c:v>12.940952255126037</c:v>
                </c:pt>
                <c:pt idx="4">
                  <c:v>17.101007166283434</c:v>
                </c:pt>
                <c:pt idx="5">
                  <c:v>21.130913087034973</c:v>
                </c:pt>
                <c:pt idx="6">
                  <c:v>24.999999999999996</c:v>
                </c:pt>
                <c:pt idx="7">
                  <c:v>28.678821817552304</c:v>
                </c:pt>
                <c:pt idx="8">
                  <c:v>32.139380484326963</c:v>
                </c:pt>
                <c:pt idx="9">
                  <c:v>35.35533905932737</c:v>
                </c:pt>
                <c:pt idx="10">
                  <c:v>38.302222155948904</c:v>
                </c:pt>
                <c:pt idx="11">
                  <c:v>40.957602214449587</c:v>
                </c:pt>
                <c:pt idx="12">
                  <c:v>43.301270189221931</c:v>
                </c:pt>
                <c:pt idx="13">
                  <c:v>45.315389351832494</c:v>
                </c:pt>
                <c:pt idx="14">
                  <c:v>46.984631039295415</c:v>
                </c:pt>
                <c:pt idx="15">
                  <c:v>48.296291314453413</c:v>
                </c:pt>
                <c:pt idx="16">
                  <c:v>49.240387650610401</c:v>
                </c:pt>
                <c:pt idx="17">
                  <c:v>49.80973490458728</c:v>
                </c:pt>
                <c:pt idx="18">
                  <c:v>50</c:v>
                </c:pt>
                <c:pt idx="19">
                  <c:v>49.80973490458728</c:v>
                </c:pt>
                <c:pt idx="20">
                  <c:v>49.240387650610401</c:v>
                </c:pt>
                <c:pt idx="21">
                  <c:v>48.296291314453413</c:v>
                </c:pt>
                <c:pt idx="22">
                  <c:v>46.984631039295422</c:v>
                </c:pt>
                <c:pt idx="23">
                  <c:v>45.315389351832501</c:v>
                </c:pt>
                <c:pt idx="24">
                  <c:v>43.301270189221938</c:v>
                </c:pt>
                <c:pt idx="25">
                  <c:v>40.957602214449587</c:v>
                </c:pt>
                <c:pt idx="26">
                  <c:v>38.302222155948904</c:v>
                </c:pt>
                <c:pt idx="27">
                  <c:v>35.355339059327378</c:v>
                </c:pt>
                <c:pt idx="28">
                  <c:v>32.139380484326971</c:v>
                </c:pt>
                <c:pt idx="29">
                  <c:v>28.678821817552297</c:v>
                </c:pt>
                <c:pt idx="30">
                  <c:v>24.999999999999996</c:v>
                </c:pt>
                <c:pt idx="31">
                  <c:v>21.130913087034976</c:v>
                </c:pt>
                <c:pt idx="32">
                  <c:v>17.101007166283445</c:v>
                </c:pt>
                <c:pt idx="33">
                  <c:v>12.940952255126051</c:v>
                </c:pt>
                <c:pt idx="34">
                  <c:v>8.682408883346513</c:v>
                </c:pt>
                <c:pt idx="35">
                  <c:v>4.3577871373829096</c:v>
                </c:pt>
                <c:pt idx="36">
                  <c:v>6.1257422745431001E-15</c:v>
                </c:pt>
                <c:pt idx="37">
                  <c:v>-4.3577871373828971</c:v>
                </c:pt>
                <c:pt idx="38">
                  <c:v>-8.6824088833465236</c:v>
                </c:pt>
                <c:pt idx="39">
                  <c:v>-12.940952255126041</c:v>
                </c:pt>
                <c:pt idx="40">
                  <c:v>-17.101007166283434</c:v>
                </c:pt>
                <c:pt idx="41">
                  <c:v>-21.130913087034962</c:v>
                </c:pt>
                <c:pt idx="42">
                  <c:v>-25.000000000000007</c:v>
                </c:pt>
                <c:pt idx="43">
                  <c:v>-28.678821817552308</c:v>
                </c:pt>
                <c:pt idx="44">
                  <c:v>-32.139380484326963</c:v>
                </c:pt>
                <c:pt idx="45">
                  <c:v>-35.35533905932737</c:v>
                </c:pt>
                <c:pt idx="46">
                  <c:v>-38.302222155948897</c:v>
                </c:pt>
                <c:pt idx="47">
                  <c:v>-40.957602214449579</c:v>
                </c:pt>
                <c:pt idx="48">
                  <c:v>-43.301270189221917</c:v>
                </c:pt>
                <c:pt idx="49">
                  <c:v>-45.315389351832501</c:v>
                </c:pt>
                <c:pt idx="50">
                  <c:v>-46.984631039295422</c:v>
                </c:pt>
                <c:pt idx="51">
                  <c:v>-48.296291314453413</c:v>
                </c:pt>
                <c:pt idx="52">
                  <c:v>-49.240387650610401</c:v>
                </c:pt>
                <c:pt idx="53">
                  <c:v>-49.80973490458728</c:v>
                </c:pt>
                <c:pt idx="54">
                  <c:v>-50</c:v>
                </c:pt>
                <c:pt idx="55">
                  <c:v>-49.80973490458728</c:v>
                </c:pt>
                <c:pt idx="56">
                  <c:v>-49.240387650610408</c:v>
                </c:pt>
                <c:pt idx="57">
                  <c:v>-48.29629131445342</c:v>
                </c:pt>
                <c:pt idx="58">
                  <c:v>-46.984631039295415</c:v>
                </c:pt>
                <c:pt idx="59">
                  <c:v>-45.315389351832494</c:v>
                </c:pt>
                <c:pt idx="60">
                  <c:v>-43.301270189221931</c:v>
                </c:pt>
                <c:pt idx="61">
                  <c:v>-40.957602214449587</c:v>
                </c:pt>
                <c:pt idx="62">
                  <c:v>-38.302222155948904</c:v>
                </c:pt>
                <c:pt idx="63">
                  <c:v>-35.355339059327385</c:v>
                </c:pt>
                <c:pt idx="64">
                  <c:v>-32.139380484326978</c:v>
                </c:pt>
                <c:pt idx="65">
                  <c:v>-28.678821817552326</c:v>
                </c:pt>
                <c:pt idx="66">
                  <c:v>-25.000000000000021</c:v>
                </c:pt>
                <c:pt idx="67">
                  <c:v>-21.130913087034962</c:v>
                </c:pt>
                <c:pt idx="68">
                  <c:v>-17.101007166283431</c:v>
                </c:pt>
                <c:pt idx="69">
                  <c:v>-12.940952255126033</c:v>
                </c:pt>
                <c:pt idx="70">
                  <c:v>-8.6824088833465201</c:v>
                </c:pt>
                <c:pt idx="71">
                  <c:v>-4.3577871373829158</c:v>
                </c:pt>
                <c:pt idx="72">
                  <c:v>-1.22514845490862E-14</c:v>
                </c:pt>
              </c:numCache>
            </c:numRef>
          </c:yVal>
          <c:smooth val="0"/>
        </c:ser>
        <c:ser>
          <c:idx val="0"/>
          <c:order val="0"/>
          <c:tx>
            <c:v>circle</c:v>
          </c:tx>
          <c:marker>
            <c:symbol val="none"/>
          </c:marker>
          <c:xVal>
            <c:numRef>
              <c:f>RAINBOW!$BI$56:$BI$128</c:f>
              <c:numCache>
                <c:formatCode>General</c:formatCode>
                <c:ptCount val="73"/>
                <c:pt idx="0">
                  <c:v>50</c:v>
                </c:pt>
                <c:pt idx="1">
                  <c:v>49.80973490458728</c:v>
                </c:pt>
                <c:pt idx="2">
                  <c:v>49.240387650610401</c:v>
                </c:pt>
                <c:pt idx="3">
                  <c:v>48.296291314453413</c:v>
                </c:pt>
                <c:pt idx="4">
                  <c:v>46.984631039295422</c:v>
                </c:pt>
                <c:pt idx="5">
                  <c:v>45.315389351832494</c:v>
                </c:pt>
                <c:pt idx="6">
                  <c:v>43.301270189221938</c:v>
                </c:pt>
                <c:pt idx="7">
                  <c:v>40.957602214449587</c:v>
                </c:pt>
                <c:pt idx="8">
                  <c:v>38.302222155948904</c:v>
                </c:pt>
                <c:pt idx="9">
                  <c:v>35.355339059327378</c:v>
                </c:pt>
                <c:pt idx="10">
                  <c:v>32.139380484326971</c:v>
                </c:pt>
                <c:pt idx="11">
                  <c:v>28.678821817552308</c:v>
                </c:pt>
                <c:pt idx="12">
                  <c:v>25.000000000000007</c:v>
                </c:pt>
                <c:pt idx="13">
                  <c:v>21.130913087034973</c:v>
                </c:pt>
                <c:pt idx="14">
                  <c:v>17.101007166283441</c:v>
                </c:pt>
                <c:pt idx="15">
                  <c:v>12.940952255126037</c:v>
                </c:pt>
                <c:pt idx="16">
                  <c:v>8.6824088833465201</c:v>
                </c:pt>
                <c:pt idx="17">
                  <c:v>4.3577871373829069</c:v>
                </c:pt>
                <c:pt idx="18">
                  <c:v>3.06287113727155E-15</c:v>
                </c:pt>
                <c:pt idx="19">
                  <c:v>-4.3577871373829113</c:v>
                </c:pt>
                <c:pt idx="20">
                  <c:v>-8.6824088833465147</c:v>
                </c:pt>
                <c:pt idx="21">
                  <c:v>-12.940952255126042</c:v>
                </c:pt>
                <c:pt idx="22">
                  <c:v>-17.101007166283434</c:v>
                </c:pt>
                <c:pt idx="23">
                  <c:v>-21.130913087034966</c:v>
                </c:pt>
                <c:pt idx="24">
                  <c:v>-24.999999999999989</c:v>
                </c:pt>
                <c:pt idx="25">
                  <c:v>-28.678821817552308</c:v>
                </c:pt>
                <c:pt idx="26">
                  <c:v>-32.139380484326971</c:v>
                </c:pt>
                <c:pt idx="27">
                  <c:v>-35.35533905932737</c:v>
                </c:pt>
                <c:pt idx="28">
                  <c:v>-38.302222155948897</c:v>
                </c:pt>
                <c:pt idx="29">
                  <c:v>-40.957602214449594</c:v>
                </c:pt>
                <c:pt idx="30">
                  <c:v>-43.301270189221938</c:v>
                </c:pt>
                <c:pt idx="31">
                  <c:v>-45.315389351832494</c:v>
                </c:pt>
                <c:pt idx="32">
                  <c:v>-46.984631039295415</c:v>
                </c:pt>
                <c:pt idx="33">
                  <c:v>-48.296291314453413</c:v>
                </c:pt>
                <c:pt idx="34">
                  <c:v>-49.240387650610401</c:v>
                </c:pt>
                <c:pt idx="35">
                  <c:v>-49.80973490458728</c:v>
                </c:pt>
                <c:pt idx="36">
                  <c:v>-50</c:v>
                </c:pt>
                <c:pt idx="37">
                  <c:v>-49.80973490458728</c:v>
                </c:pt>
                <c:pt idx="38">
                  <c:v>-49.240387650610401</c:v>
                </c:pt>
                <c:pt idx="39">
                  <c:v>-48.296291314453413</c:v>
                </c:pt>
                <c:pt idx="40">
                  <c:v>-46.984631039295422</c:v>
                </c:pt>
                <c:pt idx="41">
                  <c:v>-45.315389351832501</c:v>
                </c:pt>
                <c:pt idx="42">
                  <c:v>-43.301270189221931</c:v>
                </c:pt>
                <c:pt idx="43">
                  <c:v>-40.957602214449587</c:v>
                </c:pt>
                <c:pt idx="44">
                  <c:v>-38.302222155948904</c:v>
                </c:pt>
                <c:pt idx="45">
                  <c:v>-35.355339059327385</c:v>
                </c:pt>
                <c:pt idx="46">
                  <c:v>-32.139380484326971</c:v>
                </c:pt>
                <c:pt idx="47">
                  <c:v>-28.678821817552318</c:v>
                </c:pt>
                <c:pt idx="48">
                  <c:v>-25.000000000000021</c:v>
                </c:pt>
                <c:pt idx="49">
                  <c:v>-21.130913087034958</c:v>
                </c:pt>
                <c:pt idx="50">
                  <c:v>-17.101007166283427</c:v>
                </c:pt>
                <c:pt idx="51">
                  <c:v>-12.940952255126032</c:v>
                </c:pt>
                <c:pt idx="52">
                  <c:v>-8.6824088833465165</c:v>
                </c:pt>
                <c:pt idx="53">
                  <c:v>-4.3577871373829122</c:v>
                </c:pt>
                <c:pt idx="54">
                  <c:v>-9.1886134118146501E-15</c:v>
                </c:pt>
                <c:pt idx="55">
                  <c:v>4.3577871373828945</c:v>
                </c:pt>
                <c:pt idx="56">
                  <c:v>8.6824088833464987</c:v>
                </c:pt>
                <c:pt idx="57">
                  <c:v>12.940952255126014</c:v>
                </c:pt>
                <c:pt idx="58">
                  <c:v>17.101007166283448</c:v>
                </c:pt>
                <c:pt idx="59">
                  <c:v>21.13091308703498</c:v>
                </c:pt>
                <c:pt idx="60">
                  <c:v>25.000000000000007</c:v>
                </c:pt>
                <c:pt idx="61">
                  <c:v>28.678821817552304</c:v>
                </c:pt>
                <c:pt idx="62">
                  <c:v>32.139380484326963</c:v>
                </c:pt>
                <c:pt idx="63">
                  <c:v>35.35533905932737</c:v>
                </c:pt>
                <c:pt idx="64">
                  <c:v>38.30222215594889</c:v>
                </c:pt>
                <c:pt idx="65">
                  <c:v>40.957602214449579</c:v>
                </c:pt>
                <c:pt idx="66">
                  <c:v>43.301270189221917</c:v>
                </c:pt>
                <c:pt idx="67">
                  <c:v>45.315389351832501</c:v>
                </c:pt>
                <c:pt idx="68">
                  <c:v>46.984631039295422</c:v>
                </c:pt>
                <c:pt idx="69">
                  <c:v>48.296291314453413</c:v>
                </c:pt>
                <c:pt idx="70">
                  <c:v>49.240387650610401</c:v>
                </c:pt>
                <c:pt idx="71">
                  <c:v>49.80973490458728</c:v>
                </c:pt>
                <c:pt idx="72">
                  <c:v>50</c:v>
                </c:pt>
              </c:numCache>
            </c:numRef>
          </c:xVal>
          <c:yVal>
            <c:numRef>
              <c:f>RAINBOW!$BJ$56:$BJ$128</c:f>
              <c:numCache>
                <c:formatCode>General</c:formatCode>
                <c:ptCount val="73"/>
                <c:pt idx="0">
                  <c:v>0</c:v>
                </c:pt>
                <c:pt idx="1">
                  <c:v>4.3577871373829087</c:v>
                </c:pt>
                <c:pt idx="2">
                  <c:v>8.6824088833465165</c:v>
                </c:pt>
                <c:pt idx="3">
                  <c:v>12.940952255126037</c:v>
                </c:pt>
                <c:pt idx="4">
                  <c:v>17.101007166283434</c:v>
                </c:pt>
                <c:pt idx="5">
                  <c:v>21.130913087034973</c:v>
                </c:pt>
                <c:pt idx="6">
                  <c:v>24.999999999999996</c:v>
                </c:pt>
                <c:pt idx="7">
                  <c:v>28.678821817552304</c:v>
                </c:pt>
                <c:pt idx="8">
                  <c:v>32.139380484326963</c:v>
                </c:pt>
                <c:pt idx="9">
                  <c:v>35.35533905932737</c:v>
                </c:pt>
                <c:pt idx="10">
                  <c:v>38.302222155948904</c:v>
                </c:pt>
                <c:pt idx="11">
                  <c:v>40.957602214449587</c:v>
                </c:pt>
                <c:pt idx="12">
                  <c:v>43.301270189221931</c:v>
                </c:pt>
                <c:pt idx="13">
                  <c:v>45.315389351832494</c:v>
                </c:pt>
                <c:pt idx="14">
                  <c:v>46.984631039295415</c:v>
                </c:pt>
                <c:pt idx="15">
                  <c:v>48.296291314453413</c:v>
                </c:pt>
                <c:pt idx="16">
                  <c:v>49.240387650610401</c:v>
                </c:pt>
                <c:pt idx="17">
                  <c:v>49.80973490458728</c:v>
                </c:pt>
                <c:pt idx="18">
                  <c:v>50</c:v>
                </c:pt>
                <c:pt idx="19">
                  <c:v>49.80973490458728</c:v>
                </c:pt>
                <c:pt idx="20">
                  <c:v>49.240387650610401</c:v>
                </c:pt>
                <c:pt idx="21">
                  <c:v>48.296291314453413</c:v>
                </c:pt>
                <c:pt idx="22">
                  <c:v>46.984631039295422</c:v>
                </c:pt>
                <c:pt idx="23">
                  <c:v>45.315389351832501</c:v>
                </c:pt>
                <c:pt idx="24">
                  <c:v>43.301270189221938</c:v>
                </c:pt>
                <c:pt idx="25">
                  <c:v>40.957602214449587</c:v>
                </c:pt>
                <c:pt idx="26">
                  <c:v>38.302222155948904</c:v>
                </c:pt>
                <c:pt idx="27">
                  <c:v>35.355339059327378</c:v>
                </c:pt>
                <c:pt idx="28">
                  <c:v>32.139380484326971</c:v>
                </c:pt>
                <c:pt idx="29">
                  <c:v>28.678821817552297</c:v>
                </c:pt>
                <c:pt idx="30">
                  <c:v>24.999999999999996</c:v>
                </c:pt>
                <c:pt idx="31">
                  <c:v>21.130913087034976</c:v>
                </c:pt>
                <c:pt idx="32">
                  <c:v>17.101007166283445</c:v>
                </c:pt>
                <c:pt idx="33">
                  <c:v>12.940952255126051</c:v>
                </c:pt>
                <c:pt idx="34">
                  <c:v>8.682408883346513</c:v>
                </c:pt>
                <c:pt idx="35">
                  <c:v>4.3577871373829096</c:v>
                </c:pt>
                <c:pt idx="36">
                  <c:v>6.1257422745431001E-15</c:v>
                </c:pt>
                <c:pt idx="37">
                  <c:v>-4.3577871373828971</c:v>
                </c:pt>
                <c:pt idx="38">
                  <c:v>-8.6824088833465236</c:v>
                </c:pt>
                <c:pt idx="39">
                  <c:v>-12.940952255126041</c:v>
                </c:pt>
                <c:pt idx="40">
                  <c:v>-17.101007166283434</c:v>
                </c:pt>
                <c:pt idx="41">
                  <c:v>-21.130913087034962</c:v>
                </c:pt>
                <c:pt idx="42">
                  <c:v>-25.000000000000007</c:v>
                </c:pt>
                <c:pt idx="43">
                  <c:v>-28.678821817552308</c:v>
                </c:pt>
                <c:pt idx="44">
                  <c:v>-32.139380484326963</c:v>
                </c:pt>
                <c:pt idx="45">
                  <c:v>-35.35533905932737</c:v>
                </c:pt>
                <c:pt idx="46">
                  <c:v>-38.302222155948897</c:v>
                </c:pt>
                <c:pt idx="47">
                  <c:v>-40.957602214449579</c:v>
                </c:pt>
                <c:pt idx="48">
                  <c:v>-43.301270189221917</c:v>
                </c:pt>
                <c:pt idx="49">
                  <c:v>-45.315389351832501</c:v>
                </c:pt>
                <c:pt idx="50">
                  <c:v>-46.984631039295422</c:v>
                </c:pt>
                <c:pt idx="51">
                  <c:v>-48.296291314453413</c:v>
                </c:pt>
                <c:pt idx="52">
                  <c:v>-49.240387650610401</c:v>
                </c:pt>
                <c:pt idx="53">
                  <c:v>-49.80973490458728</c:v>
                </c:pt>
                <c:pt idx="54">
                  <c:v>-50</c:v>
                </c:pt>
                <c:pt idx="55">
                  <c:v>-49.80973490458728</c:v>
                </c:pt>
                <c:pt idx="56">
                  <c:v>-49.240387650610408</c:v>
                </c:pt>
                <c:pt idx="57">
                  <c:v>-48.29629131445342</c:v>
                </c:pt>
                <c:pt idx="58">
                  <c:v>-46.984631039295415</c:v>
                </c:pt>
                <c:pt idx="59">
                  <c:v>-45.315389351832494</c:v>
                </c:pt>
                <c:pt idx="60">
                  <c:v>-43.301270189221931</c:v>
                </c:pt>
                <c:pt idx="61">
                  <c:v>-40.957602214449587</c:v>
                </c:pt>
                <c:pt idx="62">
                  <c:v>-38.302222155948904</c:v>
                </c:pt>
                <c:pt idx="63">
                  <c:v>-35.355339059327385</c:v>
                </c:pt>
                <c:pt idx="64">
                  <c:v>-32.139380484326978</c:v>
                </c:pt>
                <c:pt idx="65">
                  <c:v>-28.678821817552326</c:v>
                </c:pt>
                <c:pt idx="66">
                  <c:v>-25.000000000000021</c:v>
                </c:pt>
                <c:pt idx="67">
                  <c:v>-21.130913087034962</c:v>
                </c:pt>
                <c:pt idx="68">
                  <c:v>-17.101007166283431</c:v>
                </c:pt>
                <c:pt idx="69">
                  <c:v>-12.940952255126033</c:v>
                </c:pt>
                <c:pt idx="70">
                  <c:v>-8.6824088833465201</c:v>
                </c:pt>
                <c:pt idx="71">
                  <c:v>-4.3577871373829158</c:v>
                </c:pt>
                <c:pt idx="72">
                  <c:v>-1.22514845490862E-14</c:v>
                </c:pt>
              </c:numCache>
            </c:numRef>
          </c:yVal>
          <c:smooth val="0"/>
        </c:ser>
        <c:ser>
          <c:idx val="1"/>
          <c:order val="1"/>
          <c:tx>
            <c:v>r1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finite'!$O$14:$O$18</c:f>
              <c:numCache>
                <c:formatCode>General</c:formatCode>
                <c:ptCount val="5"/>
                <c:pt idx="0">
                  <c:v>-104</c:v>
                </c:pt>
                <c:pt idx="1">
                  <c:v>-42.623481511564648</c:v>
                </c:pt>
                <c:pt idx="2">
                  <c:v>29.733012887410261</c:v>
                </c:pt>
                <c:pt idx="3">
                  <c:v>37.471982807296534</c:v>
                </c:pt>
                <c:pt idx="4">
                  <c:v>-200</c:v>
                </c:pt>
              </c:numCache>
            </c:numRef>
          </c:xVal>
          <c:yVal>
            <c:numRef>
              <c:f>'rainbow finite'!$P$14:$P$18</c:f>
              <c:numCache>
                <c:formatCode>General</c:formatCode>
                <c:ptCount val="5"/>
                <c:pt idx="0">
                  <c:v>0</c:v>
                </c:pt>
                <c:pt idx="1">
                  <c:v>26.138837461396534</c:v>
                </c:pt>
                <c:pt idx="2">
                  <c:v>40.198855016493887</c:v>
                </c:pt>
                <c:pt idx="3">
                  <c:v>-33.103632798979525</c:v>
                </c:pt>
                <c:pt idx="4">
                  <c:v>-891.83585755692661</c:v>
                </c:pt>
              </c:numCache>
            </c:numRef>
          </c:yVal>
          <c:smooth val="0"/>
        </c:ser>
        <c:ser>
          <c:idx val="2"/>
          <c:order val="2"/>
          <c:tx>
            <c:v>r2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finite'!$Q$14:$Q$18</c:f>
              <c:numCache>
                <c:formatCode>General</c:formatCode>
                <c:ptCount val="5"/>
                <c:pt idx="0">
                  <c:v>-104</c:v>
                </c:pt>
                <c:pt idx="1">
                  <c:v>-42.819286995326358</c:v>
                </c:pt>
                <c:pt idx="2">
                  <c:v>30.065344796391557</c:v>
                </c:pt>
                <c:pt idx="3">
                  <c:v>36.66260506018218</c:v>
                </c:pt>
                <c:pt idx="4">
                  <c:v>-200</c:v>
                </c:pt>
              </c:numCache>
            </c:numRef>
          </c:xVal>
          <c:yVal>
            <c:numRef>
              <c:f>'rainbow finite'!$R$14:$R$18</c:f>
              <c:numCache>
                <c:formatCode>General</c:formatCode>
                <c:ptCount val="5"/>
                <c:pt idx="0">
                  <c:v>0</c:v>
                </c:pt>
                <c:pt idx="1">
                  <c:v>25.816829030922346</c:v>
                </c:pt>
                <c:pt idx="2">
                  <c:v>39.950907903001294</c:v>
                </c:pt>
                <c:pt idx="3">
                  <c:v>-33.997843905181753</c:v>
                </c:pt>
                <c:pt idx="4">
                  <c:v>-868.10747068377725</c:v>
                </c:pt>
              </c:numCache>
            </c:numRef>
          </c:yVal>
          <c:smooth val="0"/>
        </c:ser>
        <c:ser>
          <c:idx val="3"/>
          <c:order val="3"/>
          <c:tx>
            <c:v>r3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finite'!$S$14:$S$18</c:f>
              <c:numCache>
                <c:formatCode>General</c:formatCode>
                <c:ptCount val="5"/>
                <c:pt idx="0">
                  <c:v>-104</c:v>
                </c:pt>
                <c:pt idx="1">
                  <c:v>-43.014211324254617</c:v>
                </c:pt>
                <c:pt idx="2">
                  <c:v>30.41040268879059</c:v>
                </c:pt>
                <c:pt idx="3">
                  <c:v>35.803767260540816</c:v>
                </c:pt>
                <c:pt idx="4">
                  <c:v>-200</c:v>
                </c:pt>
              </c:numCache>
            </c:numRef>
          </c:xVal>
          <c:yVal>
            <c:numRef>
              <c:f>'rainbow finite'!$T$14:$T$18</c:f>
              <c:numCache>
                <c:formatCode>General</c:formatCode>
                <c:ptCount val="5"/>
                <c:pt idx="0">
                  <c:v>0</c:v>
                </c:pt>
                <c:pt idx="1">
                  <c:v>25.490736045716016</c:v>
                </c:pt>
                <c:pt idx="2">
                  <c:v>39.688882678976967</c:v>
                </c:pt>
                <c:pt idx="3">
                  <c:v>-34.901149693857157</c:v>
                </c:pt>
                <c:pt idx="4">
                  <c:v>-842.93057080740084</c:v>
                </c:pt>
              </c:numCache>
            </c:numRef>
          </c:yVal>
          <c:smooth val="0"/>
        </c:ser>
        <c:ser>
          <c:idx val="4"/>
          <c:order val="4"/>
          <c:tx>
            <c:v>r4</c:v>
          </c:tx>
          <c:spPr>
            <a:ln>
              <a:solidFill>
                <a:srgbClr val="FF0000">
                  <a:alpha val="99000"/>
                </a:srgbClr>
              </a:solidFill>
            </a:ln>
          </c:spPr>
          <c:marker>
            <c:symbol val="none"/>
          </c:marker>
          <c:xVal>
            <c:numRef>
              <c:f>'rainbow finite'!$U$14:$U$18</c:f>
              <c:numCache>
                <c:formatCode>General</c:formatCode>
                <c:ptCount val="5"/>
                <c:pt idx="0">
                  <c:v>-104</c:v>
                </c:pt>
                <c:pt idx="1">
                  <c:v>-43.208132198564172</c:v>
                </c:pt>
                <c:pt idx="2">
                  <c:v>30.767428158895981</c:v>
                </c:pt>
                <c:pt idx="3">
                  <c:v>34.894691507665911</c:v>
                </c:pt>
                <c:pt idx="4">
                  <c:v>-200</c:v>
                </c:pt>
              </c:numCache>
            </c:numRef>
          </c:xVal>
          <c:yVal>
            <c:numRef>
              <c:f>'rainbow finite'!$V$14:$V$18</c:f>
              <c:numCache>
                <c:formatCode>General</c:formatCode>
                <c:ptCount val="5"/>
                <c:pt idx="0">
                  <c:v>0</c:v>
                </c:pt>
                <c:pt idx="1">
                  <c:v>25.160630197024126</c:v>
                </c:pt>
                <c:pt idx="2">
                  <c:v>39.412756367541398</c:v>
                </c:pt>
                <c:pt idx="3">
                  <c:v>-35.810061499316483</c:v>
                </c:pt>
                <c:pt idx="4">
                  <c:v>-816.6880252083439</c:v>
                </c:pt>
              </c:numCache>
            </c:numRef>
          </c:yVal>
          <c:smooth val="0"/>
        </c:ser>
        <c:ser>
          <c:idx val="5"/>
          <c:order val="5"/>
          <c:tx>
            <c:v>r5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finite'!$W$14:$W$18</c:f>
              <c:numCache>
                <c:formatCode>General</c:formatCode>
                <c:ptCount val="5"/>
                <c:pt idx="0">
                  <c:v>-104</c:v>
                </c:pt>
                <c:pt idx="1">
                  <c:v>-43.400931235637827</c:v>
                </c:pt>
                <c:pt idx="2">
                  <c:v>31.135659455088593</c:v>
                </c:pt>
                <c:pt idx="3">
                  <c:v>33.934733228431838</c:v>
                </c:pt>
                <c:pt idx="4">
                  <c:v>-200</c:v>
                </c:pt>
              </c:numCache>
            </c:numRef>
          </c:xVal>
          <c:yVal>
            <c:numRef>
              <c:f>'rainbow finite'!$X$14:$X$18</c:f>
              <c:numCache>
                <c:formatCode>General</c:formatCode>
                <c:ptCount val="5"/>
                <c:pt idx="0">
                  <c:v>0</c:v>
                </c:pt>
                <c:pt idx="1">
                  <c:v>24.826581880706758</c:v>
                </c:pt>
                <c:pt idx="2">
                  <c:v>39.122508997976503</c:v>
                </c:pt>
                <c:pt idx="3">
                  <c:v>-36.721027773132434</c:v>
                </c:pt>
                <c:pt idx="4">
                  <c:v>-789.72989215690461</c:v>
                </c:pt>
              </c:numCache>
            </c:numRef>
          </c:yVal>
          <c:smooth val="0"/>
        </c:ser>
        <c:ser>
          <c:idx val="6"/>
          <c:order val="6"/>
          <c:tx>
            <c:v>r6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finite'!$Y$14:$Y$18</c:f>
              <c:numCache>
                <c:formatCode>General</c:formatCode>
                <c:ptCount val="5"/>
                <c:pt idx="0">
                  <c:v>-104</c:v>
                </c:pt>
                <c:pt idx="1">
                  <c:v>-43.592493790907945</c:v>
                </c:pt>
                <c:pt idx="2">
                  <c:v>31.514333407097006</c:v>
                </c:pt>
                <c:pt idx="3">
                  <c:v>32.923391408713989</c:v>
                </c:pt>
                <c:pt idx="4">
                  <c:v>-200</c:v>
                </c:pt>
              </c:numCache>
            </c:numRef>
          </c:xVal>
          <c:yVal>
            <c:numRef>
              <c:f>'rainbow finite'!$Z$14:$Z$18</c:f>
              <c:numCache>
                <c:formatCode>General</c:formatCode>
                <c:ptCount val="5"/>
                <c:pt idx="0">
                  <c:v>0</c:v>
                </c:pt>
                <c:pt idx="1">
                  <c:v>24.48866033676919</c:v>
                </c:pt>
                <c:pt idx="2">
                  <c:v>38.818124502689841</c:v>
                </c:pt>
                <c:pt idx="3">
                  <c:v>-37.630443767628066</c:v>
                </c:pt>
                <c:pt idx="4">
                  <c:v>-762.3684384548219</c:v>
                </c:pt>
              </c:numCache>
            </c:numRef>
          </c:yVal>
          <c:smooth val="0"/>
        </c:ser>
        <c:ser>
          <c:idx val="7"/>
          <c:order val="7"/>
          <c:tx>
            <c:v>r7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finite'!$AA$14:$AA$18</c:f>
              <c:numCache>
                <c:formatCode>General</c:formatCode>
                <c:ptCount val="5"/>
                <c:pt idx="0">
                  <c:v>-104</c:v>
                </c:pt>
                <c:pt idx="1">
                  <c:v>-43.782708792389265</c:v>
                </c:pt>
                <c:pt idx="2">
                  <c:v>31.902687188356033</c:v>
                </c:pt>
                <c:pt idx="3">
                  <c:v>31.860317915896395</c:v>
                </c:pt>
                <c:pt idx="4">
                  <c:v>-200</c:v>
                </c:pt>
              </c:numCache>
            </c:numRef>
          </c:xVal>
          <c:yVal>
            <c:numRef>
              <c:f>'rainbow finite'!$AB$14:$AB$18</c:f>
              <c:numCache>
                <c:formatCode>General</c:formatCode>
                <c:ptCount val="5"/>
                <c:pt idx="0">
                  <c:v>0</c:v>
                </c:pt>
                <c:pt idx="1">
                  <c:v>24.146933776379143</c:v>
                </c:pt>
                <c:pt idx="2">
                  <c:v>38.499591558377652</c:v>
                </c:pt>
                <c:pt idx="3">
                  <c:v>-38.534661569786891</c:v>
                </c:pt>
                <c:pt idx="4">
                  <c:v>-734.87583259239307</c:v>
                </c:pt>
              </c:numCache>
            </c:numRef>
          </c:yVal>
          <c:smooth val="0"/>
        </c:ser>
        <c:ser>
          <c:idx val="9"/>
          <c:order val="8"/>
          <c:tx>
            <c:v>r8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finite'!$AC$14:$AC$18</c:f>
              <c:numCache>
                <c:formatCode>General</c:formatCode>
                <c:ptCount val="5"/>
                <c:pt idx="0">
                  <c:v>-104</c:v>
                </c:pt>
                <c:pt idx="1">
                  <c:v>-43.971468587674451</c:v>
                </c:pt>
                <c:pt idx="2">
                  <c:v>32.299959921623078</c:v>
                </c:pt>
                <c:pt idx="3">
                  <c:v>30.745325884602348</c:v>
                </c:pt>
                <c:pt idx="4">
                  <c:v>-200</c:v>
                </c:pt>
              </c:numCache>
            </c:numRef>
          </c:xVal>
          <c:yVal>
            <c:numRef>
              <c:f>'rainbow finite'!$AD$14:$AD$18</c:f>
              <c:numCache>
                <c:formatCode>General</c:formatCode>
                <c:ptCount val="5"/>
                <c:pt idx="0">
                  <c:v>0</c:v>
                </c:pt>
                <c:pt idx="1">
                  <c:v>23.801469497557477</c:v>
                </c:pt>
                <c:pt idx="2">
                  <c:v>38.166904368333867</c:v>
                </c:pt>
                <c:pt idx="3">
                  <c:v>-39.43000045967031</c:v>
                </c:pt>
                <c:pt idx="4">
                  <c:v>-707.48400675053881</c:v>
                </c:pt>
              </c:numCache>
            </c:numRef>
          </c:yVal>
          <c:smooth val="0"/>
        </c:ser>
        <c:ser>
          <c:idx val="8"/>
          <c:order val="9"/>
          <c:tx>
            <c:v>r9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finite'!$AE$14:$AE$18</c:f>
              <c:numCache>
                <c:formatCode>General</c:formatCode>
                <c:ptCount val="5"/>
                <c:pt idx="0">
                  <c:v>-104</c:v>
                </c:pt>
                <c:pt idx="1">
                  <c:v>-44.15866880232317</c:v>
                </c:pt>
                <c:pt idx="2">
                  <c:v>32.70539413652407</c:v>
                </c:pt>
                <c:pt idx="3">
                  <c:v>29.578397144495899</c:v>
                </c:pt>
                <c:pt idx="4">
                  <c:v>-200</c:v>
                </c:pt>
              </c:numCache>
            </c:numRef>
          </c:xVal>
          <c:yVal>
            <c:numRef>
              <c:f>'rainbow finite'!$AF$14:$AF$18</c:f>
              <c:numCache>
                <c:formatCode>General</c:formatCode>
                <c:ptCount val="5"/>
                <c:pt idx="0">
                  <c:v>0</c:v>
                </c:pt>
                <c:pt idx="1">
                  <c:v>23.452333990601666</c:v>
                </c:pt>
                <c:pt idx="2">
                  <c:v>37.820063384063978</c:v>
                </c:pt>
                <c:pt idx="3">
                  <c:v>-40.31275756336295</c:v>
                </c:pt>
                <c:pt idx="4">
                  <c:v>-680.38615717326536</c:v>
                </c:pt>
              </c:numCache>
            </c:numRef>
          </c:yVal>
          <c:smooth val="0"/>
        </c:ser>
        <c:ser>
          <c:idx val="10"/>
          <c:order val="10"/>
          <c:tx>
            <c:v>r10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finite'!$AG$14:$AG$18</c:f>
              <c:numCache>
                <c:formatCode>General</c:formatCode>
                <c:ptCount val="5"/>
                <c:pt idx="0">
                  <c:v>-104</c:v>
                </c:pt>
                <c:pt idx="1">
                  <c:v>-44.344208208681749</c:v>
                </c:pt>
                <c:pt idx="2">
                  <c:v>33.118237088018645</c:v>
                </c:pt>
                <c:pt idx="3">
                  <c:v>28.359688675141232</c:v>
                </c:pt>
                <c:pt idx="4">
                  <c:v>-200</c:v>
                </c:pt>
              </c:numCache>
            </c:numRef>
          </c:xVal>
          <c:yVal>
            <c:numRef>
              <c:f>'rainbow finite'!$AH$14:$AH$18</c:f>
              <c:numCache>
                <c:formatCode>General</c:formatCode>
                <c:ptCount val="5"/>
                <c:pt idx="0">
                  <c:v>0</c:v>
                </c:pt>
                <c:pt idx="1">
                  <c:v>23.099593034187468</c:v>
                </c:pt>
                <c:pt idx="2">
                  <c:v>37.459075965402384</c:v>
                </c:pt>
                <c:pt idx="3">
                  <c:v>-41.179218766861837</c:v>
                </c:pt>
                <c:pt idx="4">
                  <c:v>-653.73938466477773</c:v>
                </c:pt>
              </c:numCache>
            </c:numRef>
          </c:yVal>
          <c:smooth val="0"/>
        </c:ser>
        <c:ser>
          <c:idx val="11"/>
          <c:order val="11"/>
          <c:tx>
            <c:v>r11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finite'!$AI$14:$AI$18</c:f>
              <c:numCache>
                <c:formatCode>General</c:formatCode>
                <c:ptCount val="5"/>
                <c:pt idx="0">
                  <c:v>-104</c:v>
                </c:pt>
                <c:pt idx="1">
                  <c:v>-44.527988604264102</c:v>
                </c:pt>
                <c:pt idx="2">
                  <c:v>33.537741944924385</c:v>
                </c:pt>
                <c:pt idx="3">
                  <c:v>27.089538078503228</c:v>
                </c:pt>
                <c:pt idx="4">
                  <c:v>-200</c:v>
                </c:pt>
              </c:numCache>
            </c:numRef>
          </c:xVal>
          <c:yVal>
            <c:numRef>
              <c:f>'rainbow finite'!$AJ$14:$AJ$18</c:f>
              <c:numCache>
                <c:formatCode>General</c:formatCode>
                <c:ptCount val="5"/>
                <c:pt idx="0">
                  <c:v>0</c:v>
                </c:pt>
                <c:pt idx="1">
                  <c:v>22.743311782995161</c:v>
                </c:pt>
                <c:pt idx="2">
                  <c:v>37.083956979206789</c:v>
                </c:pt>
                <c:pt idx="3">
                  <c:v>-42.025669854189402</c:v>
                </c:pt>
                <c:pt idx="4">
                  <c:v>-627.66804280279462</c:v>
                </c:pt>
              </c:numCache>
            </c:numRef>
          </c:yVal>
          <c:smooth val="0"/>
        </c:ser>
        <c:ser>
          <c:idx val="12"/>
          <c:order val="12"/>
          <c:tx>
            <c:v>r12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finite'!$AK$14:$AK$18</c:f>
              <c:numCache>
                <c:formatCode>General</c:formatCode>
                <c:ptCount val="5"/>
                <c:pt idx="0">
                  <c:v>-104</c:v>
                </c:pt>
                <c:pt idx="1">
                  <c:v>-44.709914698908477</c:v>
                </c:pt>
                <c:pt idx="2">
                  <c:v>33.963168857642209</c:v>
                </c:pt>
                <c:pt idx="3">
                  <c:v>25.768468064780642</c:v>
                </c:pt>
                <c:pt idx="4">
                  <c:v>-200</c:v>
                </c:pt>
              </c:numCache>
            </c:numRef>
          </c:xVal>
          <c:yVal>
            <c:numRef>
              <c:f>'rainbow finite'!$AL$14:$AL$18</c:f>
              <c:numCache>
                <c:formatCode>General</c:formatCode>
                <c:ptCount val="5"/>
                <c:pt idx="0">
                  <c:v>0</c:v>
                </c:pt>
                <c:pt idx="1">
                  <c:v>22.3835548476181</c:v>
                </c:pt>
                <c:pt idx="2">
                  <c:v>36.694729337430495</c:v>
                </c:pt>
                <c:pt idx="3">
                  <c:v>-42.848407830331112</c:v>
                </c:pt>
                <c:pt idx="4">
                  <c:v>-602.26744244476515</c:v>
                </c:pt>
              </c:numCache>
            </c:numRef>
          </c:yVal>
          <c:smooth val="0"/>
        </c:ser>
        <c:ser>
          <c:idx val="13"/>
          <c:order val="13"/>
          <c:tx>
            <c:v>r13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finite'!$AM$14:$AM$18</c:f>
              <c:numCache>
                <c:formatCode>General</c:formatCode>
                <c:ptCount val="5"/>
                <c:pt idx="0">
                  <c:v>-104</c:v>
                </c:pt>
                <c:pt idx="1">
                  <c:v>-44.889894009998571</c:v>
                </c:pt>
                <c:pt idx="2">
                  <c:v>34.393785914108108</c:v>
                </c:pt>
                <c:pt idx="3">
                  <c:v>24.397189951920055</c:v>
                </c:pt>
                <c:pt idx="4">
                  <c:v>-200</c:v>
                </c:pt>
              </c:numCache>
            </c:numRef>
          </c:xVal>
          <c:yVal>
            <c:numRef>
              <c:f>'rainbow finite'!$AN$14:$AN$18</c:f>
              <c:numCache>
                <c:formatCode>General</c:formatCode>
                <c:ptCount val="5"/>
                <c:pt idx="0">
                  <c:v>0</c:v>
                </c:pt>
                <c:pt idx="1">
                  <c:v>22.020386367434483</c:v>
                </c:pt>
                <c:pt idx="2">
                  <c:v>36.291424475962621</c:v>
                </c:pt>
                <c:pt idx="3">
                  <c:v>-43.643752387368473</c:v>
                </c:pt>
                <c:pt idx="4">
                  <c:v>-577.60764382253024</c:v>
                </c:pt>
              </c:numCache>
            </c:numRef>
          </c:yVal>
          <c:smooth val="0"/>
        </c:ser>
        <c:ser>
          <c:idx val="14"/>
          <c:order val="14"/>
          <c:tx>
            <c:v>r14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finite'!$AO$14:$AO$18</c:f>
              <c:numCache>
                <c:formatCode>General</c:formatCode>
                <c:ptCount val="5"/>
                <c:pt idx="0">
                  <c:v>-104</c:v>
                </c:pt>
                <c:pt idx="1">
                  <c:v>-45.067836765104218</c:v>
                </c:pt>
                <c:pt idx="2">
                  <c:v>34.828869992778678</c:v>
                </c:pt>
                <c:pt idx="3">
                  <c:v>22.97660618341278</c:v>
                </c:pt>
                <c:pt idx="4">
                  <c:v>-200</c:v>
                </c:pt>
              </c:numCache>
            </c:numRef>
          </c:xVal>
          <c:yVal>
            <c:numRef>
              <c:f>'rainbow finite'!$AP$14:$AP$18</c:f>
              <c:numCache>
                <c:formatCode>General</c:formatCode>
                <c:ptCount val="5"/>
                <c:pt idx="0">
                  <c:v>0</c:v>
                </c:pt>
                <c:pt idx="1">
                  <c:v>21.653870077053679</c:v>
                </c:pt>
                <c:pt idx="2">
                  <c:v>35.874082776095072</c:v>
                </c:pt>
                <c:pt idx="3">
                  <c:v>-44.408057470377578</c:v>
                </c:pt>
                <c:pt idx="4">
                  <c:v>-553.73714345702899</c:v>
                </c:pt>
              </c:numCache>
            </c:numRef>
          </c:yVal>
          <c:smooth val="0"/>
        </c:ser>
        <c:ser>
          <c:idx val="15"/>
          <c:order val="15"/>
          <c:tx>
            <c:v>r15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finite'!$AQ$14:$AQ$18</c:f>
              <c:numCache>
                <c:formatCode>General</c:formatCode>
                <c:ptCount val="5"/>
                <c:pt idx="0">
                  <c:v>-104</c:v>
                </c:pt>
                <c:pt idx="1">
                  <c:v>-45.243655811455874</c:v>
                </c:pt>
                <c:pt idx="2">
                  <c:v>35.267707521162315</c:v>
                </c:pt>
                <c:pt idx="3">
                  <c:v>21.507811872870803</c:v>
                </c:pt>
                <c:pt idx="4">
                  <c:v>-200</c:v>
                </c:pt>
              </c:numCache>
            </c:numRef>
          </c:xVal>
          <c:yVal>
            <c:numRef>
              <c:f>'rainbow finite'!$AR$14:$AR$18</c:f>
              <c:numCache>
                <c:formatCode>General</c:formatCode>
                <c:ptCount val="5"/>
                <c:pt idx="0">
                  <c:v>0</c:v>
                </c:pt>
                <c:pt idx="1">
                  <c:v>21.284069366888353</c:v>
                </c:pt>
                <c:pt idx="2">
                  <c:v>35.442753930835444</c:v>
                </c:pt>
                <c:pt idx="3">
                  <c:v>-45.137722898272102</c:v>
                </c:pt>
                <c:pt idx="4">
                  <c:v>-530.68632779842926</c:v>
                </c:pt>
              </c:numCache>
            </c:numRef>
          </c:yVal>
          <c:smooth val="0"/>
        </c:ser>
        <c:ser>
          <c:idx val="16"/>
          <c:order val="16"/>
          <c:tx>
            <c:v>r16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finite'!$AS$14:$AS$18</c:f>
              <c:numCache>
                <c:formatCode>General</c:formatCode>
                <c:ptCount val="5"/>
                <c:pt idx="0">
                  <c:v>-104</c:v>
                </c:pt>
                <c:pt idx="1">
                  <c:v>-45.417266531720344</c:v>
                </c:pt>
                <c:pt idx="2">
                  <c:v>35.709595148051278</c:v>
                </c:pt>
                <c:pt idx="3">
                  <c:v>19.99209538744557</c:v>
                </c:pt>
                <c:pt idx="4">
                  <c:v>-200</c:v>
                </c:pt>
              </c:numCache>
            </c:numRef>
          </c:xVal>
          <c:yVal>
            <c:numRef>
              <c:f>'rainbow finite'!$AT$14:$AT$18</c:f>
              <c:numCache>
                <c:formatCode>General</c:formatCode>
                <c:ptCount val="5"/>
                <c:pt idx="0">
                  <c:v>0</c:v>
                </c:pt>
                <c:pt idx="1">
                  <c:v>20.911047338349061</c:v>
                </c:pt>
                <c:pt idx="2">
                  <c:v>34.99749725855083</c:v>
                </c:pt>
                <c:pt idx="3">
                  <c:v>-45.829205993768618</c:v>
                </c:pt>
                <c:pt idx="4">
                  <c:v>-508.47061737099989</c:v>
                </c:pt>
              </c:numCache>
            </c:numRef>
          </c:yVal>
          <c:smooth val="0"/>
        </c:ser>
        <c:ser>
          <c:idx val="17"/>
          <c:order val="17"/>
          <c:tx>
            <c:v>r17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finite'!$AU$14:$AU$18</c:f>
              <c:numCache>
                <c:formatCode>General</c:formatCode>
                <c:ptCount val="5"/>
                <c:pt idx="0">
                  <c:v>-104</c:v>
                </c:pt>
                <c:pt idx="1">
                  <c:v>-45.588586765592723</c:v>
                </c:pt>
                <c:pt idx="2">
                  <c:v>36.153840337208699</c:v>
                </c:pt>
                <c:pt idx="3">
                  <c:v>18.430937985438657</c:v>
                </c:pt>
                <c:pt idx="4">
                  <c:v>-200</c:v>
                </c:pt>
              </c:numCache>
            </c:numRef>
          </c:xVal>
          <c:yVal>
            <c:numRef>
              <c:f>'rainbow finite'!$AV$14:$AV$18</c:f>
              <c:numCache>
                <c:formatCode>General</c:formatCode>
                <c:ptCount val="5"/>
                <c:pt idx="0">
                  <c:v>0</c:v>
                </c:pt>
                <c:pt idx="1">
                  <c:v>20.534866854109975</c:v>
                </c:pt>
                <c:pt idx="2">
                  <c:v>34.538381966612462</c:v>
                </c:pt>
                <c:pt idx="3">
                  <c:v>-46.479033176012969</c:v>
                </c:pt>
                <c:pt idx="4">
                  <c:v>-487.09326464288444</c:v>
                </c:pt>
              </c:numCache>
            </c:numRef>
          </c:yVal>
          <c:smooth val="0"/>
        </c:ser>
        <c:ser>
          <c:idx val="18"/>
          <c:order val="18"/>
          <c:tx>
            <c:v>r18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finite'!$AW$14:$AW$18</c:f>
              <c:numCache>
                <c:formatCode>General</c:formatCode>
                <c:ptCount val="5"/>
                <c:pt idx="0">
                  <c:v>-104</c:v>
                </c:pt>
                <c:pt idx="1">
                  <c:v>-45.757536736762255</c:v>
                </c:pt>
                <c:pt idx="2">
                  <c:v>36.599761889833218</c:v>
                </c:pt>
                <c:pt idx="3">
                  <c:v>16.826012526480866</c:v>
                </c:pt>
                <c:pt idx="4">
                  <c:v>-200</c:v>
                </c:pt>
              </c:numCache>
            </c:numRef>
          </c:xVal>
          <c:yVal>
            <c:numRef>
              <c:f>'rainbow finite'!$AX$14:$AX$18</c:f>
              <c:numCache>
                <c:formatCode>General</c:formatCode>
                <c:ptCount val="5"/>
                <c:pt idx="0">
                  <c:v>0</c:v>
                </c:pt>
                <c:pt idx="1">
                  <c:v>20.15559058385173</c:v>
                </c:pt>
                <c:pt idx="2">
                  <c:v>34.065487367825988</c:v>
                </c:pt>
                <c:pt idx="3">
                  <c:v>-47.083811469110152</c:v>
                </c:pt>
                <c:pt idx="4">
                  <c:v>-466.54779727771148</c:v>
                </c:pt>
              </c:numCache>
            </c:numRef>
          </c:yVal>
          <c:smooth val="0"/>
        </c:ser>
        <c:ser>
          <c:idx val="19"/>
          <c:order val="19"/>
          <c:tx>
            <c:v>r19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'rainbow finite'!$AY$14:$AY$18</c:f>
              <c:numCache>
                <c:formatCode>General</c:formatCode>
                <c:ptCount val="5"/>
                <c:pt idx="0">
                  <c:v>-104</c:v>
                </c:pt>
                <c:pt idx="1">
                  <c:v>-45.924038984848366</c:v>
                </c:pt>
                <c:pt idx="2">
                  <c:v>37.046690402673178</c:v>
                </c:pt>
                <c:pt idx="3">
                  <c:v>15.179181275459767</c:v>
                </c:pt>
                <c:pt idx="4">
                  <c:v>-200</c:v>
                </c:pt>
              </c:numCache>
            </c:numRef>
          </c:xVal>
          <c:yVal>
            <c:numRef>
              <c:f>'rainbow finite'!$AZ$14:$AZ$18</c:f>
              <c:numCache>
                <c:formatCode>General</c:formatCode>
                <c:ptCount val="5"/>
                <c:pt idx="0">
                  <c:v>0</c:v>
                </c:pt>
                <c:pt idx="1">
                  <c:v>19.773281045848911</c:v>
                </c:pt>
                <c:pt idx="2">
                  <c:v>33.578903052489416</c:v>
                </c:pt>
                <c:pt idx="3">
                  <c:v>-47.640239879819369</c:v>
                </c:pt>
                <c:pt idx="4">
                  <c:v>-446.82011774393811</c:v>
                </c:pt>
              </c:numCache>
            </c:numRef>
          </c:yVal>
          <c:smooth val="0"/>
        </c:ser>
        <c:ser>
          <c:idx val="21"/>
          <c:order val="20"/>
          <c:tx>
            <c:v>alfarisi_point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'rainbow finite'!$P$30:$P$34</c:f>
              <c:numCache>
                <c:formatCode>General</c:formatCode>
                <c:ptCount val="5"/>
                <c:pt idx="0">
                  <c:v>-104</c:v>
                </c:pt>
                <c:pt idx="1">
                  <c:v>-40.912296585542997</c:v>
                </c:pt>
                <c:pt idx="2">
                  <c:v>34.887837631798455</c:v>
                </c:pt>
                <c:pt idx="3">
                  <c:v>29.808303942260395</c:v>
                </c:pt>
                <c:pt idx="4">
                  <c:v>-200</c:v>
                </c:pt>
              </c:numCache>
            </c:numRef>
          </c:xVal>
          <c:yVal>
            <c:numRef>
              <c:f>'rainbow finite'!$Q$30:$Q$34</c:f>
              <c:numCache>
                <c:formatCode>General</c:formatCode>
                <c:ptCount val="5"/>
                <c:pt idx="0">
                  <c:v>0</c:v>
                </c:pt>
                <c:pt idx="1">
                  <c:v>28.743416430490075</c:v>
                </c:pt>
                <c:pt idx="2">
                  <c:v>35.816738899253068</c:v>
                </c:pt>
                <c:pt idx="3">
                  <c:v>-40.143056885167873</c:v>
                </c:pt>
                <c:pt idx="4">
                  <c:v>-581.82364027514484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574592"/>
        <c:axId val="132596864"/>
      </c:scatterChart>
      <c:valAx>
        <c:axId val="132574592"/>
        <c:scaling>
          <c:orientation val="minMax"/>
          <c:max val="100"/>
          <c:min val="-250"/>
        </c:scaling>
        <c:delete val="0"/>
        <c:axPos val="b"/>
        <c:numFmt formatCode="General" sourceLinked="1"/>
        <c:majorTickMark val="out"/>
        <c:minorTickMark val="none"/>
        <c:tickLblPos val="nextTo"/>
        <c:crossAx val="132596864"/>
        <c:crosses val="autoZero"/>
        <c:crossBetween val="midCat"/>
      </c:valAx>
      <c:valAx>
        <c:axId val="132596864"/>
        <c:scaling>
          <c:orientation val="minMax"/>
          <c:max val="100"/>
          <c:min val="-15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2574592"/>
        <c:crosses val="autoZero"/>
        <c:crossBetween val="midCat"/>
      </c:valAx>
      <c:spPr>
        <a:noFill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Γράφημα1"/>
  <sheetViews>
    <sheetView zoomScale="130" workbookViewId="0"/>
  </sheetViews>
  <pageMargins left="0.7" right="0.7" top="0.75" bottom="0.75" header="0.3" footer="0.3"/>
  <drawing r:id="rId1"/>
  <legacyDrawing r:id="rId2"/>
</chartsheet>
</file>

<file path=xl/ctrlProps/ctrlProp1.xml><?xml version="1.0" encoding="utf-8"?>
<formControlPr xmlns="http://schemas.microsoft.com/office/spreadsheetml/2009/9/main" objectType="Scroll" dx="18" fmlaLink="$F$22" horiz="1" max="750" min="1" page="10" val="357"/>
</file>

<file path=xl/ctrlProps/ctrlProp2.xml><?xml version="1.0" encoding="utf-8"?>
<formControlPr xmlns="http://schemas.microsoft.com/office/spreadsheetml/2009/9/main" objectType="Spin" dx="16" fmlaLink="$A$22" max="90" page="10" val="0"/>
</file>

<file path=xl/ctrlProps/ctrlProp3.xml><?xml version="1.0" encoding="utf-8"?>
<formControlPr xmlns="http://schemas.microsoft.com/office/spreadsheetml/2009/9/main" objectType="Scroll" dx="18" fmlaLink="$D$20" horiz="1" max="300" min="60" page="10" val="104"/>
</file>

<file path=xl/ctrlProps/ctrlProp4.xml><?xml version="1.0" encoding="utf-8"?>
<formControlPr xmlns="http://schemas.microsoft.com/office/spreadsheetml/2009/9/main" objectType="Scroll" dx="18" fmlaLink="$F$22" horiz="1" max="750" min="1" page="10" val="75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41000</xdr:colOff>
      <xdr:row>1</xdr:row>
      <xdr:rowOff>97053</xdr:rowOff>
    </xdr:from>
    <xdr:to>
      <xdr:col>13</xdr:col>
      <xdr:colOff>311012</xdr:colOff>
      <xdr:row>20</xdr:row>
      <xdr:rowOff>106578</xdr:rowOff>
    </xdr:to>
    <xdr:graphicFrame macro="">
      <xdr:nvGraphicFramePr>
        <xdr:cNvPr id="109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504825</xdr:colOff>
          <xdr:row>22</xdr:row>
          <xdr:rowOff>180975</xdr:rowOff>
        </xdr:from>
        <xdr:to>
          <xdr:col>5</xdr:col>
          <xdr:colOff>142875</xdr:colOff>
          <xdr:row>23</xdr:row>
          <xdr:rowOff>180975</xdr:rowOff>
        </xdr:to>
        <xdr:sp macro="" textlink="">
          <xdr:nvSpPr>
            <xdr:cNvPr id="1034" name="Scroll Bar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571500</xdr:colOff>
          <xdr:row>21</xdr:row>
          <xdr:rowOff>238125</xdr:rowOff>
        </xdr:from>
        <xdr:to>
          <xdr:col>29</xdr:col>
          <xdr:colOff>495300</xdr:colOff>
          <xdr:row>23</xdr:row>
          <xdr:rowOff>190500</xdr:rowOff>
        </xdr:to>
        <xdr:sp macro="" textlink="">
          <xdr:nvSpPr>
            <xdr:cNvPr id="1071" name="Object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7656635" cy="5180135"/>
    <xdr:graphicFrame macro="">
      <xdr:nvGraphicFramePr>
        <xdr:cNvPr id="2" name="Γράφημα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0.00287</cdr:x>
      <cdr:y>0.00707</cdr:y>
    </cdr:from>
    <cdr:to>
      <cdr:x>0.24687</cdr:x>
      <cdr:y>0.12657</cdr:y>
    </cdr:to>
    <cdr:pic macro="[0]!CommandButton1_Κλικ">
      <cdr:nvPicPr>
        <cdr:cNvPr id="2049" name="CommandButton1"/>
        <cdr:cNvPicPr preferRelativeResize="0">
          <a:picLocks xmlns:a="http://schemas.openxmlformats.org/drawingml/2006/main" noChangeArrowheads="1" noChangeShapeType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1981" y="36635"/>
          <a:ext cx="1868219" cy="6190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cdr:spPr>
    </cdr:pic>
  </cdr:relSizeAnchor>
  <cdr:relSizeAnchor xmlns:cdr="http://schemas.openxmlformats.org/drawingml/2006/chartDrawing">
    <cdr:from>
      <cdr:x>0.68804</cdr:x>
      <cdr:y>0.01697</cdr:y>
    </cdr:from>
    <cdr:to>
      <cdr:x>0.99043</cdr:x>
      <cdr:y>0.11881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268058" y="87923"/>
          <a:ext cx="2315307" cy="527539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rgbClr val="FFFF00"/>
              </a:solidFill>
            </a:rPr>
            <a:t>MOVEMENT OF WAVE FRONTS</a:t>
          </a:r>
          <a:endParaRPr lang="el-GR" sz="1100" b="1">
            <a:solidFill>
              <a:srgbClr val="FFFF00"/>
            </a:solidFill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262390</xdr:colOff>
      <xdr:row>0</xdr:row>
      <xdr:rowOff>1</xdr:rowOff>
    </xdr:from>
    <xdr:to>
      <xdr:col>13</xdr:col>
      <xdr:colOff>495300</xdr:colOff>
      <xdr:row>27</xdr:row>
      <xdr:rowOff>190501</xdr:rowOff>
    </xdr:to>
    <xdr:graphicFrame macro="">
      <xdr:nvGraphicFramePr>
        <xdr:cNvPr id="3" name="Γράφημα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16</xdr:row>
          <xdr:rowOff>57150</xdr:rowOff>
        </xdr:from>
        <xdr:to>
          <xdr:col>3</xdr:col>
          <xdr:colOff>57150</xdr:colOff>
          <xdr:row>29</xdr:row>
          <xdr:rowOff>9525</xdr:rowOff>
        </xdr:to>
        <xdr:sp macro="" textlink="">
          <xdr:nvSpPr>
            <xdr:cNvPr id="21505" name="Spinner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</xdr:row>
          <xdr:rowOff>47625</xdr:rowOff>
        </xdr:from>
        <xdr:to>
          <xdr:col>2</xdr:col>
          <xdr:colOff>219075</xdr:colOff>
          <xdr:row>5</xdr:row>
          <xdr:rowOff>133350</xdr:rowOff>
        </xdr:to>
        <xdr:sp macro="" textlink="">
          <xdr:nvSpPr>
            <xdr:cNvPr id="21506" name="Object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13</xdr:col>
      <xdr:colOff>586207</xdr:colOff>
      <xdr:row>13</xdr:row>
      <xdr:rowOff>182516</xdr:rowOff>
    </xdr:from>
    <xdr:to>
      <xdr:col>20</xdr:col>
      <xdr:colOff>483953</xdr:colOff>
      <xdr:row>27</xdr:row>
      <xdr:rowOff>92028</xdr:rowOff>
    </xdr:to>
    <xdr:graphicFrame macro="">
      <xdr:nvGraphicFramePr>
        <xdr:cNvPr id="2" name="Γράφημα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573881</xdr:colOff>
      <xdr:row>0</xdr:row>
      <xdr:rowOff>9525</xdr:rowOff>
    </xdr:from>
    <xdr:to>
      <xdr:col>20</xdr:col>
      <xdr:colOff>421481</xdr:colOff>
      <xdr:row>13</xdr:row>
      <xdr:rowOff>133350</xdr:rowOff>
    </xdr:to>
    <xdr:graphicFrame macro="">
      <xdr:nvGraphicFramePr>
        <xdr:cNvPr id="7" name="Γράφημα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209098</xdr:colOff>
      <xdr:row>29</xdr:row>
      <xdr:rowOff>119063</xdr:rowOff>
    </xdr:to>
    <xdr:graphicFrame macro="">
      <xdr:nvGraphicFramePr>
        <xdr:cNvPr id="2" name="Γράφημα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457200</xdr:colOff>
      <xdr:row>17</xdr:row>
      <xdr:rowOff>95250</xdr:rowOff>
    </xdr:from>
    <xdr:to>
      <xdr:col>14</xdr:col>
      <xdr:colOff>266700</xdr:colOff>
      <xdr:row>19</xdr:row>
      <xdr:rowOff>9525</xdr:rowOff>
    </xdr:to>
    <xdr:sp macro="" textlink="">
      <xdr:nvSpPr>
        <xdr:cNvPr id="28" name="Τόξο 27"/>
        <xdr:cNvSpPr/>
      </xdr:nvSpPr>
      <xdr:spPr>
        <a:xfrm rot="20170546">
          <a:off x="8382000" y="3333750"/>
          <a:ext cx="419100" cy="295275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13</xdr:col>
      <xdr:colOff>237259</xdr:colOff>
      <xdr:row>17</xdr:row>
      <xdr:rowOff>98374</xdr:rowOff>
    </xdr:from>
    <xdr:to>
      <xdr:col>14</xdr:col>
      <xdr:colOff>114374</xdr:colOff>
      <xdr:row>18</xdr:row>
      <xdr:rowOff>50902</xdr:rowOff>
    </xdr:to>
    <xdr:sp macro="" textlink="">
      <xdr:nvSpPr>
        <xdr:cNvPr id="29" name="WordArt 31"/>
        <xdr:cNvSpPr>
          <a:spLocks noChangeArrowheads="1" noChangeShapeType="1" noTextEdit="1"/>
        </xdr:cNvSpPr>
      </xdr:nvSpPr>
      <xdr:spPr bwMode="auto">
        <a:xfrm rot="1262251">
          <a:off x="8162059" y="3336874"/>
          <a:ext cx="486715" cy="143028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l-GR" sz="12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Times New Roman"/>
              <a:cs typeface="Times New Roman"/>
            </a:rPr>
            <a:t>π-2*</a:t>
          </a:r>
          <a:r>
            <a:rPr lang="en-US" sz="12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Times New Roman"/>
              <a:cs typeface="Times New Roman"/>
            </a:rPr>
            <a:t>refraction</a:t>
          </a:r>
          <a:endParaRPr lang="el-GR" sz="1200" kern="10" spc="0">
            <a:ln>
              <a:noFill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>
              <a:outerShdw dist="45791" dir="2021404" algn="ctr" rotWithShape="0">
                <a:srgbClr val="C0C0C0"/>
              </a:outerShdw>
            </a:effectLst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267261</xdr:colOff>
      <xdr:row>14</xdr:row>
      <xdr:rowOff>148478</xdr:rowOff>
    </xdr:from>
    <xdr:to>
      <xdr:col>16</xdr:col>
      <xdr:colOff>504825</xdr:colOff>
      <xdr:row>28</xdr:row>
      <xdr:rowOff>148478</xdr:rowOff>
    </xdr:to>
    <xdr:grpSp>
      <xdr:nvGrpSpPr>
        <xdr:cNvPr id="37" name="Ομάδα 36"/>
        <xdr:cNvGrpSpPr/>
      </xdr:nvGrpSpPr>
      <xdr:grpSpPr>
        <a:xfrm>
          <a:off x="7002797" y="2978764"/>
          <a:ext cx="3326385" cy="2680607"/>
          <a:chOff x="6953811" y="2958353"/>
          <a:chExt cx="3314139" cy="2676525"/>
        </a:xfrm>
      </xdr:grpSpPr>
      <xdr:grpSp>
        <xdr:nvGrpSpPr>
          <xdr:cNvPr id="36" name="Ομάδα 35"/>
          <xdr:cNvGrpSpPr/>
        </xdr:nvGrpSpPr>
        <xdr:grpSpPr>
          <a:xfrm>
            <a:off x="7186194" y="3027039"/>
            <a:ext cx="3081756" cy="2607839"/>
            <a:chOff x="7165042" y="2386853"/>
            <a:chExt cx="3060887" cy="2743200"/>
          </a:xfrm>
        </xdr:grpSpPr>
        <xdr:sp macro="" textlink="">
          <xdr:nvSpPr>
            <xdr:cNvPr id="4" name="Oval 3"/>
            <xdr:cNvSpPr>
              <a:spLocks noChangeArrowheads="1"/>
            </xdr:cNvSpPr>
          </xdr:nvSpPr>
          <xdr:spPr bwMode="auto">
            <a:xfrm>
              <a:off x="7859107" y="2758442"/>
              <a:ext cx="1521910" cy="1530072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grpSp>
          <xdr:nvGrpSpPr>
            <xdr:cNvPr id="9" name="Group 15"/>
            <xdr:cNvGrpSpPr>
              <a:grpSpLocks/>
            </xdr:cNvGrpSpPr>
          </xdr:nvGrpSpPr>
          <xdr:grpSpPr bwMode="auto">
            <a:xfrm rot="5095436">
              <a:off x="8518697" y="2960487"/>
              <a:ext cx="1256845" cy="1060406"/>
              <a:chOff x="950" y="459"/>
              <a:chExt cx="115" cy="98"/>
            </a:xfrm>
          </xdr:grpSpPr>
          <xdr:sp macro="" textlink="">
            <xdr:nvSpPr>
              <xdr:cNvPr id="17" name="Line 16"/>
              <xdr:cNvSpPr>
                <a:spLocks noChangeShapeType="1"/>
              </xdr:cNvSpPr>
            </xdr:nvSpPr>
            <xdr:spPr bwMode="auto">
              <a:xfrm flipH="1" flipV="1">
                <a:off x="950" y="459"/>
                <a:ext cx="57" cy="98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8" name="Line 17"/>
              <xdr:cNvSpPr>
                <a:spLocks noChangeShapeType="1"/>
              </xdr:cNvSpPr>
            </xdr:nvSpPr>
            <xdr:spPr bwMode="auto">
              <a:xfrm>
                <a:off x="972" y="497"/>
                <a:ext cx="93" cy="21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 type="triangle" w="med" len="med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10" name="Line 22"/>
            <xdr:cNvSpPr>
              <a:spLocks noChangeShapeType="1"/>
            </xdr:cNvSpPr>
          </xdr:nvSpPr>
          <xdr:spPr bwMode="auto">
            <a:xfrm>
              <a:off x="8611529" y="3523478"/>
              <a:ext cx="909560" cy="1103837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" name="Line 24"/>
            <xdr:cNvSpPr>
              <a:spLocks noChangeShapeType="1"/>
            </xdr:cNvSpPr>
          </xdr:nvSpPr>
          <xdr:spPr bwMode="auto">
            <a:xfrm rot="5904908">
              <a:off x="8399631" y="4508716"/>
              <a:ext cx="1016405" cy="226269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3" name="Line 28"/>
            <xdr:cNvSpPr>
              <a:spLocks noChangeShapeType="1"/>
            </xdr:cNvSpPr>
          </xdr:nvSpPr>
          <xdr:spPr bwMode="auto">
            <a:xfrm flipV="1">
              <a:off x="8945545" y="2550789"/>
              <a:ext cx="704840" cy="1989093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" name="Freeform 30"/>
            <xdr:cNvSpPr>
              <a:spLocks/>
            </xdr:cNvSpPr>
          </xdr:nvSpPr>
          <xdr:spPr bwMode="auto">
            <a:xfrm>
              <a:off x="9176297" y="2856805"/>
              <a:ext cx="120103" cy="172146"/>
            </a:xfrm>
            <a:custGeom>
              <a:avLst/>
              <a:gdLst>
                <a:gd name="T0" fmla="*/ 25 w 25"/>
                <a:gd name="T1" fmla="*/ 27 h 27"/>
                <a:gd name="T2" fmla="*/ 5 w 25"/>
                <a:gd name="T3" fmla="*/ 0 h 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</a:cxnLst>
              <a:rect l="0" t="0" r="r" b="b"/>
              <a:pathLst>
                <a:path w="25" h="27">
                  <a:moveTo>
                    <a:pt x="25" y="27"/>
                  </a:moveTo>
                  <a:cubicBezTo>
                    <a:pt x="0" y="15"/>
                    <a:pt x="8" y="4"/>
                    <a:pt x="5" y="0"/>
                  </a:cubicBezTo>
                </a:path>
              </a:pathLst>
            </a:custGeom>
            <a:noFill/>
            <a:ln w="9525" cap="flat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dash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9"/>
                  </a:solidFill>
                </a14:hiddenFill>
              </a:ext>
            </a:extLst>
          </xdr:spPr>
        </xdr:sp>
        <xdr:sp macro="" textlink="">
          <xdr:nvSpPr>
            <xdr:cNvPr id="16" name="WordArt 31"/>
            <xdr:cNvSpPr>
              <a:spLocks noChangeArrowheads="1" noChangeShapeType="1" noTextEdit="1"/>
            </xdr:cNvSpPr>
          </xdr:nvSpPr>
          <xdr:spPr bwMode="auto">
            <a:xfrm rot="20091878">
              <a:off x="9302317" y="2615377"/>
              <a:ext cx="866462" cy="142078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en-US" sz="12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>
                    <a:outerShdw dist="45791" dir="2021404" algn="ctr" rotWithShape="0">
                      <a:srgbClr val="C0C0C0"/>
                    </a:outerShdw>
                  </a:effectLst>
                  <a:latin typeface="Times New Roman"/>
                  <a:cs typeface="Times New Roman"/>
                </a:rPr>
                <a:t>angle with horizontal</a:t>
              </a:r>
              <a:endParaRPr lang="el-GR" sz="1200" kern="10" spc="0">
                <a:ln>
                  <a:noFill/>
                </a:ln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effectLst>
                  <a:outerShdw dist="45791" dir="2021404" algn="ctr" rotWithShape="0">
                    <a:srgbClr val="C0C0C0"/>
                  </a:outerShdw>
                </a:effectLst>
                <a:latin typeface="Times New Roman"/>
                <a:cs typeface="Times New Roman"/>
              </a:endParaRPr>
            </a:p>
          </xdr:txBody>
        </xdr:sp>
      </xdr:grpSp>
      <xdr:grpSp>
        <xdr:nvGrpSpPr>
          <xdr:cNvPr id="35" name="Ομάδα 34"/>
          <xdr:cNvGrpSpPr/>
        </xdr:nvGrpSpPr>
        <xdr:grpSpPr>
          <a:xfrm>
            <a:off x="6953811" y="2958353"/>
            <a:ext cx="2789798" cy="2195459"/>
            <a:chOff x="6953811" y="2386853"/>
            <a:chExt cx="2761223" cy="2176409"/>
          </a:xfrm>
        </xdr:grpSpPr>
        <xdr:sp macro="" textlink="">
          <xdr:nvSpPr>
            <xdr:cNvPr id="5" name="Line 5"/>
            <xdr:cNvSpPr>
              <a:spLocks noChangeShapeType="1"/>
            </xdr:cNvSpPr>
          </xdr:nvSpPr>
          <xdr:spPr bwMode="auto">
            <a:xfrm>
              <a:off x="7229690" y="2856804"/>
              <a:ext cx="1000241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" name="Text Box 6"/>
            <xdr:cNvSpPr txBox="1">
              <a:spLocks noChangeArrowheads="1"/>
            </xdr:cNvSpPr>
          </xdr:nvSpPr>
          <xdr:spPr bwMode="auto">
            <a:xfrm>
              <a:off x="7165042" y="2386853"/>
              <a:ext cx="1107988" cy="43716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9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incidence angle</a:t>
              </a:r>
              <a:endParaRPr lang="el-GR"/>
            </a:p>
          </xdr:txBody>
        </xdr:sp>
        <xdr:sp macro="" textlink="">
          <xdr:nvSpPr>
            <xdr:cNvPr id="7" name="Line 4"/>
            <xdr:cNvSpPr>
              <a:spLocks noChangeShapeType="1"/>
            </xdr:cNvSpPr>
          </xdr:nvSpPr>
          <xdr:spPr bwMode="auto">
            <a:xfrm flipH="1" flipV="1">
              <a:off x="7992887" y="2452428"/>
              <a:ext cx="618642" cy="107105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8" name="Line 7"/>
            <xdr:cNvSpPr>
              <a:spLocks noChangeShapeType="1"/>
            </xdr:cNvSpPr>
          </xdr:nvSpPr>
          <xdr:spPr bwMode="auto">
            <a:xfrm>
              <a:off x="8229931" y="2867733"/>
              <a:ext cx="1011014" cy="22951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2" name="WordArt 27"/>
            <xdr:cNvSpPr>
              <a:spLocks noChangeArrowheads="1" noChangeShapeType="1" noTextEdit="1"/>
            </xdr:cNvSpPr>
          </xdr:nvSpPr>
          <xdr:spPr bwMode="auto">
            <a:xfrm rot="1262251">
              <a:off x="8305354" y="3064456"/>
              <a:ext cx="870943" cy="142078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en-US" sz="12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>
                    <a:outerShdw dist="45791" dir="2021404" algn="ctr" rotWithShape="0">
                      <a:srgbClr val="C0C0C0"/>
                    </a:outerShdw>
                  </a:effectLst>
                  <a:latin typeface="Times New Roman"/>
                  <a:cs typeface="Times New Roman"/>
                </a:rPr>
                <a:t>refraction angle</a:t>
              </a:r>
              <a:endParaRPr lang="el-GR" sz="1200" kern="10" spc="0">
                <a:ln>
                  <a:noFill/>
                </a:ln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effectLst>
                  <a:outerShdw dist="45791" dir="2021404" algn="ctr" rotWithShape="0">
                    <a:srgbClr val="C0C0C0"/>
                  </a:outerShdw>
                </a:effectLst>
                <a:latin typeface="Times New Roman"/>
                <a:cs typeface="Times New Roman"/>
              </a:endParaRPr>
            </a:p>
          </xdr:txBody>
        </xdr:sp>
        <xdr:sp macro="" textlink="">
          <xdr:nvSpPr>
            <xdr:cNvPr id="14" name="Line 29"/>
            <xdr:cNvSpPr>
              <a:spLocks noChangeShapeType="1"/>
            </xdr:cNvSpPr>
          </xdr:nvSpPr>
          <xdr:spPr bwMode="auto">
            <a:xfrm>
              <a:off x="7622063" y="2856804"/>
              <a:ext cx="2092971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19" name="Group 15"/>
            <xdr:cNvGrpSpPr>
              <a:grpSpLocks/>
            </xdr:cNvGrpSpPr>
          </xdr:nvGrpSpPr>
          <xdr:grpSpPr bwMode="auto">
            <a:xfrm rot="10317746">
              <a:off x="8025632" y="3507338"/>
              <a:ext cx="1265809" cy="1055924"/>
              <a:chOff x="950" y="459"/>
              <a:chExt cx="115" cy="98"/>
            </a:xfrm>
          </xdr:grpSpPr>
          <xdr:sp macro="" textlink="">
            <xdr:nvSpPr>
              <xdr:cNvPr id="20" name="Line 16"/>
              <xdr:cNvSpPr>
                <a:spLocks noChangeShapeType="1"/>
              </xdr:cNvSpPr>
            </xdr:nvSpPr>
            <xdr:spPr bwMode="auto">
              <a:xfrm flipH="1" flipV="1">
                <a:off x="950" y="459"/>
                <a:ext cx="57" cy="98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21" name="Line 17"/>
              <xdr:cNvSpPr>
                <a:spLocks noChangeShapeType="1"/>
              </xdr:cNvSpPr>
            </xdr:nvSpPr>
            <xdr:spPr bwMode="auto">
              <a:xfrm>
                <a:off x="972" y="497"/>
                <a:ext cx="93" cy="21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 type="triangle" w="med" len="med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grpSp>
          <xdr:nvGrpSpPr>
            <xdr:cNvPr id="27" name="Ομάδα 26"/>
            <xdr:cNvGrpSpPr/>
          </xdr:nvGrpSpPr>
          <xdr:grpSpPr>
            <a:xfrm rot="5400000">
              <a:off x="7378882" y="3153683"/>
              <a:ext cx="905078" cy="1620022"/>
              <a:chOff x="7278029" y="3283672"/>
              <a:chExt cx="905078" cy="1606575"/>
            </a:xfrm>
          </xdr:grpSpPr>
          <xdr:sp macro="" textlink="">
            <xdr:nvSpPr>
              <xdr:cNvPr id="25" name="Line 22"/>
              <xdr:cNvSpPr>
                <a:spLocks noChangeShapeType="1"/>
              </xdr:cNvSpPr>
            </xdr:nvSpPr>
            <xdr:spPr bwMode="auto">
              <a:xfrm>
                <a:off x="7278029" y="3283672"/>
                <a:ext cx="905078" cy="1103837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26" name="Line 24"/>
              <xdr:cNvSpPr>
                <a:spLocks noChangeShapeType="1"/>
              </xdr:cNvSpPr>
            </xdr:nvSpPr>
            <xdr:spPr bwMode="auto">
              <a:xfrm rot="5904908">
                <a:off x="7066131" y="4268910"/>
                <a:ext cx="1016405" cy="226269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 type="triangle" w="med" len="med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30" name="WordArt 27"/>
            <xdr:cNvSpPr>
              <a:spLocks noChangeArrowheads="1" noChangeShapeType="1" noTextEdit="1"/>
            </xdr:cNvSpPr>
          </xdr:nvSpPr>
          <xdr:spPr bwMode="auto">
            <a:xfrm rot="1262251">
              <a:off x="8242933" y="2723367"/>
              <a:ext cx="137218" cy="141918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en-US" sz="12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>
                    <a:outerShdw dist="45791" dir="2021404" algn="ctr" rotWithShape="0">
                      <a:srgbClr val="C0C0C0"/>
                    </a:outerShdw>
                  </a:effectLst>
                  <a:latin typeface="Times New Roman"/>
                  <a:cs typeface="Times New Roman"/>
                </a:rPr>
                <a:t>1</a:t>
              </a:r>
              <a:endParaRPr lang="el-GR" sz="1200" kern="10" spc="0">
                <a:ln>
                  <a:noFill/>
                </a:ln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effectLst>
                  <a:outerShdw dist="45791" dir="2021404" algn="ctr" rotWithShape="0">
                    <a:srgbClr val="C0C0C0"/>
                  </a:outerShdw>
                </a:effectLst>
                <a:latin typeface="Times New Roman"/>
                <a:cs typeface="Times New Roman"/>
              </a:endParaRPr>
            </a:p>
          </xdr:txBody>
        </xdr:sp>
        <xdr:sp macro="" textlink="">
          <xdr:nvSpPr>
            <xdr:cNvPr id="31" name="WordArt 27"/>
            <xdr:cNvSpPr>
              <a:spLocks noChangeArrowheads="1" noChangeShapeType="1" noTextEdit="1"/>
            </xdr:cNvSpPr>
          </xdr:nvSpPr>
          <xdr:spPr bwMode="auto">
            <a:xfrm rot="1262251">
              <a:off x="9265796" y="3067633"/>
              <a:ext cx="182841" cy="140994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en-US" sz="12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>
                    <a:outerShdw dist="45791" dir="2021404" algn="ctr" rotWithShape="0">
                      <a:srgbClr val="C0C0C0"/>
                    </a:outerShdw>
                  </a:effectLst>
                  <a:latin typeface="Times New Roman"/>
                  <a:cs typeface="Times New Roman"/>
                </a:rPr>
                <a:t>2</a:t>
              </a:r>
              <a:endParaRPr lang="el-GR" sz="1200" kern="10" spc="0">
                <a:ln>
                  <a:noFill/>
                </a:ln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effectLst>
                  <a:outerShdw dist="45791" dir="2021404" algn="ctr" rotWithShape="0">
                    <a:srgbClr val="C0C0C0"/>
                  </a:outerShdw>
                </a:effectLst>
                <a:latin typeface="Times New Roman"/>
                <a:cs typeface="Times New Roman"/>
              </a:endParaRPr>
            </a:p>
          </xdr:txBody>
        </xdr:sp>
        <xdr:sp macro="" textlink="">
          <xdr:nvSpPr>
            <xdr:cNvPr id="32" name="WordArt 27"/>
            <xdr:cNvSpPr>
              <a:spLocks noChangeArrowheads="1" noChangeShapeType="1" noTextEdit="1"/>
            </xdr:cNvSpPr>
          </xdr:nvSpPr>
          <xdr:spPr bwMode="auto">
            <a:xfrm rot="1262251">
              <a:off x="9195434" y="4009924"/>
              <a:ext cx="184379" cy="153254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en-US" sz="12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>
                    <a:outerShdw dist="45791" dir="2021404" algn="ctr" rotWithShape="0">
                      <a:srgbClr val="C0C0C0"/>
                    </a:outerShdw>
                  </a:effectLst>
                  <a:latin typeface="Times New Roman"/>
                  <a:cs typeface="Times New Roman"/>
                </a:rPr>
                <a:t>3</a:t>
              </a:r>
              <a:endParaRPr lang="el-GR" sz="1200" kern="10" spc="0">
                <a:ln>
                  <a:noFill/>
                </a:ln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effectLst>
                  <a:outerShdw dist="45791" dir="2021404" algn="ctr" rotWithShape="0">
                    <a:srgbClr val="C0C0C0"/>
                  </a:outerShdw>
                </a:effectLst>
                <a:latin typeface="Times New Roman"/>
                <a:cs typeface="Times New Roman"/>
              </a:endParaRPr>
            </a:p>
          </xdr:txBody>
        </xdr:sp>
        <xdr:sp macro="" textlink="">
          <xdr:nvSpPr>
            <xdr:cNvPr id="33" name="WordArt 27"/>
            <xdr:cNvSpPr>
              <a:spLocks noChangeArrowheads="1" noChangeShapeType="1" noTextEdit="1"/>
            </xdr:cNvSpPr>
          </xdr:nvSpPr>
          <xdr:spPr bwMode="auto">
            <a:xfrm rot="1262251">
              <a:off x="8109584" y="4067074"/>
              <a:ext cx="184379" cy="153254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en-US" sz="12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>
                    <a:outerShdw dist="45791" dir="2021404" algn="ctr" rotWithShape="0">
                      <a:srgbClr val="C0C0C0"/>
                    </a:outerShdw>
                  </a:effectLst>
                  <a:latin typeface="Times New Roman"/>
                  <a:cs typeface="Times New Roman"/>
                </a:rPr>
                <a:t>4</a:t>
              </a:r>
              <a:endParaRPr lang="el-GR" sz="1200" kern="10" spc="0">
                <a:ln>
                  <a:noFill/>
                </a:ln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effectLst>
                  <a:outerShdw dist="45791" dir="2021404" algn="ctr" rotWithShape="0">
                    <a:srgbClr val="C0C0C0"/>
                  </a:outerShdw>
                </a:effectLst>
                <a:latin typeface="Times New Roman"/>
                <a:cs typeface="Times New Roman"/>
              </a:endParaRPr>
            </a:p>
          </xdr:txBody>
        </xdr:sp>
        <xdr:sp macro="" textlink="">
          <xdr:nvSpPr>
            <xdr:cNvPr id="34" name="Text Box 6"/>
            <xdr:cNvSpPr txBox="1">
              <a:spLocks noChangeArrowheads="1"/>
            </xdr:cNvSpPr>
          </xdr:nvSpPr>
          <xdr:spPr bwMode="auto">
            <a:xfrm>
              <a:off x="6953811" y="3863228"/>
              <a:ext cx="1107988" cy="43716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9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angle with radius =incidence angle</a:t>
              </a:r>
              <a:endParaRPr lang="el-GR"/>
            </a:p>
          </xdr:txBody>
        </xdr:sp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0</xdr:row>
          <xdr:rowOff>47625</xdr:rowOff>
        </xdr:from>
        <xdr:to>
          <xdr:col>13</xdr:col>
          <xdr:colOff>123825</xdr:colOff>
          <xdr:row>1</xdr:row>
          <xdr:rowOff>171450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5</xdr:col>
      <xdr:colOff>178594</xdr:colOff>
      <xdr:row>14</xdr:row>
      <xdr:rowOff>178595</xdr:rowOff>
    </xdr:to>
    <xdr:graphicFrame macro="">
      <xdr:nvGraphicFramePr>
        <xdr:cNvPr id="2" name="Γράφημα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20</xdr:row>
          <xdr:rowOff>161925</xdr:rowOff>
        </xdr:from>
        <xdr:to>
          <xdr:col>13</xdr:col>
          <xdr:colOff>228600</xdr:colOff>
          <xdr:row>23</xdr:row>
          <xdr:rowOff>57150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250032</xdr:colOff>
      <xdr:row>0</xdr:row>
      <xdr:rowOff>23813</xdr:rowOff>
    </xdr:from>
    <xdr:to>
      <xdr:col>10</xdr:col>
      <xdr:colOff>452437</xdr:colOff>
      <xdr:row>14</xdr:row>
      <xdr:rowOff>166689</xdr:rowOff>
    </xdr:to>
    <xdr:graphicFrame macro="">
      <xdr:nvGraphicFramePr>
        <xdr:cNvPr id="4" name="Γράφημα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16</xdr:row>
          <xdr:rowOff>19050</xdr:rowOff>
        </xdr:from>
        <xdr:to>
          <xdr:col>4</xdr:col>
          <xdr:colOff>409575</xdr:colOff>
          <xdr:row>17</xdr:row>
          <xdr:rowOff>38100</xdr:rowOff>
        </xdr:to>
        <xdr:sp macro="" textlink="">
          <xdr:nvSpPr>
            <xdr:cNvPr id="23554" name="Scroll Bar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23</xdr:row>
          <xdr:rowOff>19050</xdr:rowOff>
        </xdr:from>
        <xdr:to>
          <xdr:col>6</xdr:col>
          <xdr:colOff>533400</xdr:colOff>
          <xdr:row>24</xdr:row>
          <xdr:rowOff>28575</xdr:rowOff>
        </xdr:to>
        <xdr:sp macro="" textlink="">
          <xdr:nvSpPr>
            <xdr:cNvPr id="20481" name="Scroll Bar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53</xdr:col>
      <xdr:colOff>47625</xdr:colOff>
      <xdr:row>1</xdr:row>
      <xdr:rowOff>95250</xdr:rowOff>
    </xdr:from>
    <xdr:to>
      <xdr:col>56</xdr:col>
      <xdr:colOff>514350</xdr:colOff>
      <xdr:row>9</xdr:row>
      <xdr:rowOff>180975</xdr:rowOff>
    </xdr:to>
    <xdr:sp macro="" textlink="">
      <xdr:nvSpPr>
        <xdr:cNvPr id="2" name="Ορθογώνιο 1"/>
        <xdr:cNvSpPr/>
      </xdr:nvSpPr>
      <xdr:spPr>
        <a:xfrm>
          <a:off x="32470725" y="285750"/>
          <a:ext cx="2295525" cy="16097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53</xdr:col>
      <xdr:colOff>200025</xdr:colOff>
      <xdr:row>2</xdr:row>
      <xdr:rowOff>133350</xdr:rowOff>
    </xdr:from>
    <xdr:to>
      <xdr:col>57</xdr:col>
      <xdr:colOff>57150</xdr:colOff>
      <xdr:row>11</xdr:row>
      <xdr:rowOff>28575</xdr:rowOff>
    </xdr:to>
    <xdr:sp macro="" textlink="">
      <xdr:nvSpPr>
        <xdr:cNvPr id="5" name="Ορθογώνιο 4"/>
        <xdr:cNvSpPr/>
      </xdr:nvSpPr>
      <xdr:spPr>
        <a:xfrm rot="697083">
          <a:off x="32623125" y="514350"/>
          <a:ext cx="2295525" cy="1609725"/>
        </a:xfrm>
        <a:prstGeom prst="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twoCellAnchor>
  <xdr:oneCellAnchor>
    <xdr:from>
      <xdr:col>55</xdr:col>
      <xdr:colOff>214294</xdr:colOff>
      <xdr:row>8</xdr:row>
      <xdr:rowOff>47625</xdr:rowOff>
    </xdr:from>
    <xdr:ext cx="290532" cy="785229"/>
    <xdr:sp macro="" textlink="">
      <xdr:nvSpPr>
        <xdr:cNvPr id="3" name="Ορθογώνιο 2"/>
        <xdr:cNvSpPr/>
      </xdr:nvSpPr>
      <xdr:spPr>
        <a:xfrm>
          <a:off x="33856594" y="1571625"/>
          <a:ext cx="290532" cy="78522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l-GR" sz="36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θ</a:t>
          </a:r>
        </a:p>
      </xdr:txBody>
    </xdr:sp>
    <xdr:clientData/>
  </xdr:oneCellAnchor>
  <xdr:twoCellAnchor>
    <xdr:from>
      <xdr:col>53</xdr:col>
      <xdr:colOff>47625</xdr:colOff>
      <xdr:row>5</xdr:row>
      <xdr:rowOff>104775</xdr:rowOff>
    </xdr:from>
    <xdr:to>
      <xdr:col>55</xdr:col>
      <xdr:colOff>85725</xdr:colOff>
      <xdr:row>5</xdr:row>
      <xdr:rowOff>138113</xdr:rowOff>
    </xdr:to>
    <xdr:cxnSp macro="">
      <xdr:nvCxnSpPr>
        <xdr:cNvPr id="7" name="Ευθεία γραμμή σύνδεσης 6"/>
        <xdr:cNvCxnSpPr>
          <a:stCxn id="2" idx="1"/>
        </xdr:cNvCxnSpPr>
      </xdr:nvCxnSpPr>
      <xdr:spPr>
        <a:xfrm flipV="1">
          <a:off x="32470725" y="1057275"/>
          <a:ext cx="1257300" cy="333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85725</xdr:colOff>
      <xdr:row>5</xdr:row>
      <xdr:rowOff>114300</xdr:rowOff>
    </xdr:from>
    <xdr:to>
      <xdr:col>55</xdr:col>
      <xdr:colOff>161925</xdr:colOff>
      <xdr:row>9</xdr:row>
      <xdr:rowOff>180975</xdr:rowOff>
    </xdr:to>
    <xdr:cxnSp macro="">
      <xdr:nvCxnSpPr>
        <xdr:cNvPr id="9" name="Ευθεία γραμμή σύνδεσης 8"/>
        <xdr:cNvCxnSpPr/>
      </xdr:nvCxnSpPr>
      <xdr:spPr>
        <a:xfrm>
          <a:off x="33728025" y="1066800"/>
          <a:ext cx="76200" cy="828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466725</xdr:colOff>
      <xdr:row>5</xdr:row>
      <xdr:rowOff>66675</xdr:rowOff>
    </xdr:from>
    <xdr:to>
      <xdr:col>55</xdr:col>
      <xdr:colOff>76200</xdr:colOff>
      <xdr:row>10</xdr:row>
      <xdr:rowOff>161925</xdr:rowOff>
    </xdr:to>
    <xdr:cxnSp macro="">
      <xdr:nvCxnSpPr>
        <xdr:cNvPr id="13" name="Ευθεία γραμμή σύνδεσης 12"/>
        <xdr:cNvCxnSpPr/>
      </xdr:nvCxnSpPr>
      <xdr:spPr>
        <a:xfrm flipH="1">
          <a:off x="33499425" y="1019175"/>
          <a:ext cx="219075" cy="1047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342900</xdr:colOff>
      <xdr:row>4</xdr:row>
      <xdr:rowOff>38100</xdr:rowOff>
    </xdr:from>
    <xdr:to>
      <xdr:col>55</xdr:col>
      <xdr:colOff>57151</xdr:colOff>
      <xdr:row>5</xdr:row>
      <xdr:rowOff>85725</xdr:rowOff>
    </xdr:to>
    <xdr:cxnSp macro="">
      <xdr:nvCxnSpPr>
        <xdr:cNvPr id="17" name="Ευθεία γραμμή σύνδεσης 16"/>
        <xdr:cNvCxnSpPr/>
      </xdr:nvCxnSpPr>
      <xdr:spPr>
        <a:xfrm flipH="1" flipV="1">
          <a:off x="32766000" y="800100"/>
          <a:ext cx="933451" cy="238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5" Type="http://schemas.openxmlformats.org/officeDocument/2006/relationships/ctrlProp" Target="../ctrlProps/ctrlProp2.xml"/><Relationship Id="rId4" Type="http://schemas.openxmlformats.org/officeDocument/2006/relationships/image" Target="../media/image3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4" Type="http://schemas.openxmlformats.org/officeDocument/2006/relationships/image" Target="../media/image3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5" Type="http://schemas.openxmlformats.org/officeDocument/2006/relationships/ctrlProp" Target="../ctrlProps/ctrlProp3.xml"/><Relationship Id="rId4" Type="http://schemas.openxmlformats.org/officeDocument/2006/relationships/image" Target="../media/image3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P209"/>
  <sheetViews>
    <sheetView topLeftCell="A4" zoomScale="115" zoomScaleNormal="115" workbookViewId="0">
      <selection activeCell="G24" sqref="G24"/>
    </sheetView>
  </sheetViews>
  <sheetFormatPr defaultRowHeight="15" x14ac:dyDescent="0.25"/>
  <sheetData>
    <row r="1" spans="1:42" x14ac:dyDescent="0.25">
      <c r="A1" t="s">
        <v>17</v>
      </c>
      <c r="B1">
        <v>0</v>
      </c>
      <c r="C1" t="s">
        <v>5</v>
      </c>
      <c r="D1">
        <f>-30</f>
        <v>-30</v>
      </c>
      <c r="E1" t="s">
        <v>8</v>
      </c>
      <c r="F1">
        <v>1.5</v>
      </c>
      <c r="H1" t="s">
        <v>9</v>
      </c>
      <c r="I1">
        <f>4*ATAN(1)</f>
        <v>3.1415926535897931</v>
      </c>
      <c r="K1" t="s">
        <v>13</v>
      </c>
      <c r="L1">
        <f>ASIN(K2/nd)</f>
        <v>0.64350110879328437</v>
      </c>
      <c r="M1" t="s">
        <v>13</v>
      </c>
      <c r="N1">
        <f>ASIN(M2/nd)</f>
        <v>0.56253624454385565</v>
      </c>
      <c r="O1" t="s">
        <v>13</v>
      </c>
      <c r="P1">
        <f>ASIN(O2/nd)</f>
        <v>0.48551812229559105</v>
      </c>
      <c r="Q1" t="s">
        <v>13</v>
      </c>
      <c r="R1">
        <f>ASIN(Q2/nd)</f>
        <v>0.41151684606748795</v>
      </c>
      <c r="S1" t="s">
        <v>13</v>
      </c>
      <c r="T1">
        <f>ASIN(S2/nd)</f>
        <v>0.33983690945412193</v>
      </c>
      <c r="U1" t="s">
        <v>13</v>
      </c>
      <c r="V1">
        <f>ASIN(U2/nd)</f>
        <v>0.26993279583340346</v>
      </c>
      <c r="W1" t="s">
        <v>13</v>
      </c>
      <c r="X1">
        <f>ASIN(W2/nd)</f>
        <v>0.2013579207903308</v>
      </c>
      <c r="Y1" t="s">
        <v>13</v>
      </c>
      <c r="Z1">
        <f>ASIN(Y2/nd)</f>
        <v>0.13373158940994154</v>
      </c>
      <c r="AA1" t="s">
        <v>13</v>
      </c>
      <c r="AB1">
        <f>ASIN(AA2/nd)</f>
        <v>6.6716148410225259E-2</v>
      </c>
      <c r="AC1" t="s">
        <v>13</v>
      </c>
      <c r="AD1">
        <f>ASIN(SQRT((4-nd^2)/3))</f>
        <v>0.86912220300729304</v>
      </c>
      <c r="AE1">
        <f>ASIN(SIN(AD1)/nd)</f>
        <v>0.53422604456791434</v>
      </c>
      <c r="AF1">
        <f>DEGREES(AD1)</f>
        <v>49.797034113430236</v>
      </c>
      <c r="AH1">
        <f>PI/2</f>
        <v>1.5707963267948966</v>
      </c>
      <c r="AI1">
        <f>1/nd</f>
        <v>0.66666666666666663</v>
      </c>
      <c r="AJ1">
        <f>DEGREES(AI2)</f>
        <v>41.810314895778596</v>
      </c>
      <c r="AK1">
        <f>2*AI2-PI/2</f>
        <v>-0.11134101434096388</v>
      </c>
    </row>
    <row r="2" spans="1:42" x14ac:dyDescent="0.25">
      <c r="A2" t="s">
        <v>0</v>
      </c>
      <c r="B2">
        <v>0</v>
      </c>
      <c r="C2" t="s">
        <v>4</v>
      </c>
      <c r="D2">
        <f>RCYCLE/10</f>
        <v>1</v>
      </c>
      <c r="F2" t="s">
        <v>14</v>
      </c>
      <c r="G2">
        <v>1</v>
      </c>
      <c r="K2">
        <f>K7/RCYCLE</f>
        <v>0.9</v>
      </c>
      <c r="M2">
        <f>M7/RCYCLE</f>
        <v>0.8</v>
      </c>
      <c r="O2">
        <f>O7/RCYCLE</f>
        <v>0.7</v>
      </c>
      <c r="Q2">
        <f>Q7/RCYCLE</f>
        <v>0.6</v>
      </c>
      <c r="S2">
        <f>S7/RCYCLE</f>
        <v>0.5</v>
      </c>
      <c r="U2">
        <f>U7/RCYCLE</f>
        <v>0.4</v>
      </c>
      <c r="W2">
        <f>W7/RCYCLE</f>
        <v>0.3</v>
      </c>
      <c r="Y2">
        <f>Y7/RCYCLE</f>
        <v>0.2</v>
      </c>
      <c r="AA2">
        <f>AA7/RCYCLE</f>
        <v>0.1</v>
      </c>
      <c r="AC2">
        <f>AC7/RCYCLE</f>
        <v>0.76376261582597338</v>
      </c>
      <c r="AD2">
        <f>2*AE1-AD1</f>
        <v>0.19932988612853564</v>
      </c>
      <c r="AI2">
        <f>ASIN(AI1)</f>
        <v>0.72972765622696634</v>
      </c>
    </row>
    <row r="3" spans="1:42" x14ac:dyDescent="0.25">
      <c r="A3" t="s">
        <v>1</v>
      </c>
      <c r="B3">
        <v>10</v>
      </c>
      <c r="F3" t="s">
        <v>15</v>
      </c>
      <c r="G3">
        <f>caera/nd</f>
        <v>0.66666666666666663</v>
      </c>
      <c r="J3" t="s">
        <v>3</v>
      </c>
      <c r="K3">
        <f>1</f>
        <v>1</v>
      </c>
      <c r="M3">
        <f>K3+1</f>
        <v>2</v>
      </c>
      <c r="N3">
        <f t="shared" ref="N3:V3" si="0">L3+1</f>
        <v>1</v>
      </c>
      <c r="O3">
        <f t="shared" si="0"/>
        <v>3</v>
      </c>
      <c r="P3">
        <f t="shared" si="0"/>
        <v>2</v>
      </c>
      <c r="Q3">
        <f t="shared" si="0"/>
        <v>4</v>
      </c>
      <c r="R3">
        <f t="shared" si="0"/>
        <v>3</v>
      </c>
      <c r="S3">
        <f t="shared" si="0"/>
        <v>5</v>
      </c>
      <c r="T3">
        <f t="shared" si="0"/>
        <v>4</v>
      </c>
      <c r="U3">
        <f t="shared" si="0"/>
        <v>6</v>
      </c>
      <c r="V3">
        <f t="shared" si="0"/>
        <v>5</v>
      </c>
      <c r="W3">
        <f t="shared" ref="W3:AD3" si="1">U3+1</f>
        <v>7</v>
      </c>
      <c r="X3">
        <f t="shared" si="1"/>
        <v>6</v>
      </c>
      <c r="Y3">
        <f t="shared" si="1"/>
        <v>8</v>
      </c>
      <c r="Z3">
        <f t="shared" si="1"/>
        <v>7</v>
      </c>
      <c r="AA3">
        <f t="shared" si="1"/>
        <v>9</v>
      </c>
      <c r="AB3">
        <f t="shared" si="1"/>
        <v>8</v>
      </c>
      <c r="AC3">
        <f t="shared" si="1"/>
        <v>10</v>
      </c>
      <c r="AD3">
        <f t="shared" si="1"/>
        <v>9</v>
      </c>
      <c r="AH3" t="s">
        <v>61</v>
      </c>
    </row>
    <row r="4" spans="1:42" x14ac:dyDescent="0.25">
      <c r="A4" t="s">
        <v>2</v>
      </c>
      <c r="B4">
        <f>RCYCLE/100</f>
        <v>0.1</v>
      </c>
      <c r="K4" t="s">
        <v>10</v>
      </c>
      <c r="M4">
        <v>1</v>
      </c>
      <c r="O4" t="s">
        <v>10</v>
      </c>
      <c r="Q4" t="s">
        <v>10</v>
      </c>
      <c r="S4" t="s">
        <v>10</v>
      </c>
      <c r="U4" t="s">
        <v>10</v>
      </c>
      <c r="W4" t="s">
        <v>10</v>
      </c>
      <c r="Y4" t="s">
        <v>10</v>
      </c>
      <c r="AA4" t="s">
        <v>10</v>
      </c>
      <c r="AC4" t="s">
        <v>10</v>
      </c>
      <c r="AH4">
        <f>XARXI</f>
        <v>-30</v>
      </c>
      <c r="AI4">
        <f>RCYCLE</f>
        <v>10</v>
      </c>
      <c r="AJ4">
        <f>XARXI</f>
        <v>-30</v>
      </c>
      <c r="AK4">
        <f>-RCYCLE</f>
        <v>-10</v>
      </c>
    </row>
    <row r="5" spans="1:42" x14ac:dyDescent="0.25">
      <c r="J5" t="s">
        <v>12</v>
      </c>
      <c r="K5">
        <f>ASIN(K2)</f>
        <v>1.1197695149986342</v>
      </c>
      <c r="M5">
        <f>ASIN(M2)</f>
        <v>0.9272952180016123</v>
      </c>
      <c r="O5">
        <f>ASIN(O2)</f>
        <v>0.77539749661075308</v>
      </c>
      <c r="Q5">
        <f>ASIN(Q2)</f>
        <v>0.64350110879328437</v>
      </c>
      <c r="S5">
        <f>ASIN(S2)</f>
        <v>0.52359877559829893</v>
      </c>
      <c r="U5">
        <f>ASIN(U2)</f>
        <v>0.41151684606748801</v>
      </c>
      <c r="W5">
        <f>ASIN(W2)</f>
        <v>0.30469265401539752</v>
      </c>
      <c r="Y5">
        <f>ASIN(Y2)</f>
        <v>0.20135792079033082</v>
      </c>
      <c r="AA5">
        <f>ASIN(AA2)</f>
        <v>0.1001674211615598</v>
      </c>
      <c r="AC5">
        <f>ASIN(AC2)</f>
        <v>0.86912220300729304</v>
      </c>
      <c r="AH5">
        <v>0</v>
      </c>
      <c r="AI5">
        <v>10</v>
      </c>
      <c r="AJ5">
        <v>0</v>
      </c>
      <c r="AK5">
        <v>-10</v>
      </c>
    </row>
    <row r="6" spans="1:42" x14ac:dyDescent="0.25">
      <c r="J6" t="s">
        <v>11</v>
      </c>
      <c r="K6">
        <f>2*L1-K5</f>
        <v>0.16723270258793455</v>
      </c>
      <c r="M6">
        <f>2*N1-M5</f>
        <v>0.19777727108609899</v>
      </c>
      <c r="O6">
        <f>2*P1-O5</f>
        <v>0.19563874798042902</v>
      </c>
      <c r="Q6">
        <f>2*R1-Q5</f>
        <v>0.17953258334169153</v>
      </c>
      <c r="S6">
        <f>2*T1-S5</f>
        <v>0.15607504330994493</v>
      </c>
      <c r="U6">
        <f>2*V1-U5</f>
        <v>0.12834874559931891</v>
      </c>
      <c r="W6">
        <f>2*X1-W5</f>
        <v>9.8023187565264069E-2</v>
      </c>
      <c r="Y6">
        <f>2*Z1-Y5</f>
        <v>6.610525802955225E-2</v>
      </c>
      <c r="AA6">
        <f>2*AB1-AA5</f>
        <v>3.3264875658890719E-2</v>
      </c>
      <c r="AC6">
        <f>2*AD1-AC5</f>
        <v>0.86912220300729304</v>
      </c>
      <c r="AH6">
        <f>RCYCLE*COS(2*$AI$2-PI/2)</f>
        <v>9.9380798999990656</v>
      </c>
      <c r="AI6">
        <f>RCYCLE*SIN(2*$AI$2-PI/2)</f>
        <v>-1.1111111111111112</v>
      </c>
      <c r="AJ6">
        <f>RCYCLE*COS(2*$AI$2-PI/2)</f>
        <v>9.9380798999990656</v>
      </c>
      <c r="AK6">
        <f>-RCYCLE*SIN(2*$AI$2-PI/2)</f>
        <v>1.1111111111111112</v>
      </c>
    </row>
    <row r="7" spans="1:42" x14ac:dyDescent="0.25">
      <c r="J7">
        <f>XARXI</f>
        <v>-30</v>
      </c>
      <c r="K7">
        <f>RCYCLE-K3*STEP2</f>
        <v>9</v>
      </c>
      <c r="L7">
        <f>XARXI</f>
        <v>-30</v>
      </c>
      <c r="M7">
        <f>RCYCLE-M3*STEP2</f>
        <v>8</v>
      </c>
      <c r="N7">
        <f>XARXI</f>
        <v>-30</v>
      </c>
      <c r="O7">
        <f>RCYCLE-O3*STEP2</f>
        <v>7</v>
      </c>
      <c r="P7">
        <f>XARXI</f>
        <v>-30</v>
      </c>
      <c r="Q7">
        <f>RCYCLE-Q3*STEP2</f>
        <v>6</v>
      </c>
      <c r="R7">
        <f>XARXI</f>
        <v>-30</v>
      </c>
      <c r="S7">
        <f>RCYCLE-S3*STEP2</f>
        <v>5</v>
      </c>
      <c r="T7">
        <f>XARXI</f>
        <v>-30</v>
      </c>
      <c r="U7">
        <f>RCYCLE-U3*STEP2</f>
        <v>4</v>
      </c>
      <c r="V7">
        <f>XARXI</f>
        <v>-30</v>
      </c>
      <c r="W7">
        <f>RCYCLE-W3*STEP2</f>
        <v>3</v>
      </c>
      <c r="X7">
        <f>XARXI</f>
        <v>-30</v>
      </c>
      <c r="Y7">
        <f>RCYCLE-Y3*STEP2</f>
        <v>2</v>
      </c>
      <c r="Z7">
        <f>XARXI</f>
        <v>-30</v>
      </c>
      <c r="AA7">
        <f>RCYCLE-AA3*STEP2</f>
        <v>1</v>
      </c>
      <c r="AB7">
        <f>XARXI</f>
        <v>-30</v>
      </c>
      <c r="AC7">
        <f>AC8</f>
        <v>7.6376261582597333</v>
      </c>
      <c r="AH7">
        <f>AH6+(AI7-AI6)/TAN(2*$AI$2)</f>
        <v>7.8262379212492625</v>
      </c>
      <c r="AI7">
        <v>-20</v>
      </c>
      <c r="AJ7">
        <f>AJ6-(AK7-AK6)/TAN(2*$AI$2)</f>
        <v>7.8262379212492625</v>
      </c>
      <c r="AK7">
        <v>20</v>
      </c>
    </row>
    <row r="8" spans="1:42" x14ac:dyDescent="0.25">
      <c r="J8">
        <f>-SQRT(RCYCLE^2-K7^2)</f>
        <v>-4.358898943540674</v>
      </c>
      <c r="K8">
        <f>K7</f>
        <v>9</v>
      </c>
      <c r="L8">
        <f>-SQRT(RCYCLE^2-M7^2)</f>
        <v>-6</v>
      </c>
      <c r="M8">
        <f>M7</f>
        <v>8</v>
      </c>
      <c r="N8">
        <f>-SQRT(RCYCLE^2-O7^2)</f>
        <v>-7.1414284285428504</v>
      </c>
      <c r="O8">
        <f>O7</f>
        <v>7</v>
      </c>
      <c r="P8">
        <f>-SQRT(RCYCLE^2-Q7^2)</f>
        <v>-8</v>
      </c>
      <c r="Q8">
        <f>Q7</f>
        <v>6</v>
      </c>
      <c r="R8">
        <f>-SQRT(RCYCLE^2-S7^2)</f>
        <v>-8.6602540378443873</v>
      </c>
      <c r="S8">
        <f>S7</f>
        <v>5</v>
      </c>
      <c r="T8">
        <f>-SQRT(RCYCLE^2-U7^2)</f>
        <v>-9.1651513899116797</v>
      </c>
      <c r="U8">
        <f>U7</f>
        <v>4</v>
      </c>
      <c r="V8">
        <f>-SQRT(RCYCLE^2-W7^2)</f>
        <v>-9.5393920141694561</v>
      </c>
      <c r="W8">
        <v>3</v>
      </c>
      <c r="X8">
        <f>-SQRT(RCYCLE^2-Y7^2)</f>
        <v>-9.7979589711327115</v>
      </c>
      <c r="Y8">
        <v>2</v>
      </c>
      <c r="Z8">
        <f>-SQRT(RCYCLE^2-AA7^2)</f>
        <v>-9.9498743710661994</v>
      </c>
      <c r="AA8">
        <v>1</v>
      </c>
      <c r="AB8">
        <f>-RCYCLE*COS(AD1)</f>
        <v>-6.4549722436790278</v>
      </c>
      <c r="AC8">
        <f>RCYCLE*SIN(AD1)</f>
        <v>7.6376261582597333</v>
      </c>
      <c r="AM8">
        <v>0</v>
      </c>
      <c r="AN8">
        <f t="shared" ref="AN8:AN71" si="2">-RCYCLE+AM8*STEP</f>
        <v>-10</v>
      </c>
      <c r="AO8">
        <f t="shared" ref="AO8:AO71" si="3">yc+SQRT(RCYCLE^2-(AN8-xc)^2)</f>
        <v>0</v>
      </c>
      <c r="AP8">
        <f t="shared" ref="AP8:AP71" si="4">yc-SQRT(RCYCLE^2-(AN8-xc)^2)</f>
        <v>0</v>
      </c>
    </row>
    <row r="9" spans="1:42" x14ac:dyDescent="0.25">
      <c r="J9">
        <f>RCYCLE*COS(K$6)</f>
        <v>9.8604917041913893</v>
      </c>
      <c r="K9">
        <f>RCYCLE*SIN(K$6)</f>
        <v>1.6645429857990464</v>
      </c>
      <c r="L9">
        <f>RCYCLE*COS(M$6)</f>
        <v>9.8050574452335049</v>
      </c>
      <c r="M9">
        <f>RCYCLE*SIN(M$6)</f>
        <v>1.9649041950362398</v>
      </c>
      <c r="N9">
        <f>RCYCLE*COS(O$6)</f>
        <v>9.8092370144189278</v>
      </c>
      <c r="O9">
        <f>RCYCLE*SIN(O$6)</f>
        <v>1.9439313760916654</v>
      </c>
      <c r="P9">
        <f>RCYCLE*COS(Q$6)</f>
        <v>9.8392726671576067</v>
      </c>
      <c r="Q9">
        <f>RCYCLE*SIN(Q$6)</f>
        <v>1.7856968895434742</v>
      </c>
      <c r="R9">
        <f>RCYCLE*COS(S$6)</f>
        <v>9.8784499458191792</v>
      </c>
      <c r="S9">
        <f>RCYCLE*SIN(S$6)</f>
        <v>1.5544216506292841</v>
      </c>
      <c r="T9">
        <f>RCYCLE*COS(U$6)</f>
        <v>9.9177460074959338</v>
      </c>
      <c r="U9">
        <f>RCYCLE*SIN(U$6)</f>
        <v>1.2799664569036477</v>
      </c>
      <c r="V9">
        <f>RCYCLE*COS(W$6)</f>
        <v>9.9519957295718253</v>
      </c>
      <c r="W9">
        <f>RCYCLE*SIN(W$6)</f>
        <v>0.97866286257533519</v>
      </c>
      <c r="X9">
        <f>RCYCLE*COS(Y$6)</f>
        <v>9.9781584298415407</v>
      </c>
      <c r="Y9">
        <f>RCYCLE*SIN(Y$6)</f>
        <v>0.66057122930248857</v>
      </c>
      <c r="Z9">
        <f>RCYCLE*COS(AA$6)</f>
        <v>9.9944677504086847</v>
      </c>
      <c r="AA9">
        <f>RCYCLE*SIN(AA$6)</f>
        <v>0.33258741112791357</v>
      </c>
      <c r="AB9">
        <f>RCYCLE*COS(AD2)</f>
        <v>9.8019948885496362</v>
      </c>
      <c r="AC9">
        <f>RCYCLE*SIN(AD2)</f>
        <v>1.9801253002895602</v>
      </c>
      <c r="AH9">
        <f>nd/2</f>
        <v>0.75</v>
      </c>
      <c r="AM9">
        <f t="shared" ref="AM9:AM40" si="5">AM8+1</f>
        <v>1</v>
      </c>
      <c r="AN9">
        <f t="shared" si="2"/>
        <v>-9.9</v>
      </c>
      <c r="AO9">
        <f t="shared" si="3"/>
        <v>1.4106735979665865</v>
      </c>
      <c r="AP9">
        <f t="shared" si="4"/>
        <v>-1.4106735979665865</v>
      </c>
    </row>
    <row r="10" spans="1:42" x14ac:dyDescent="0.25">
      <c r="J10">
        <f>J9+(K9-K10)/TAN(2*K$5-2*L$1)</f>
        <v>18.1573028111155</v>
      </c>
      <c r="K10">
        <f>-10</f>
        <v>-10</v>
      </c>
      <c r="L10">
        <f>L9+(M9-M10)/TAN(2*M$5-2*N$1)</f>
        <v>23.187873923086695</v>
      </c>
      <c r="M10">
        <f>-10</f>
        <v>-10</v>
      </c>
      <c r="N10">
        <f>N9+(O9-O10)/TAN(2*O$5-2*P$1)</f>
        <v>28.049156329102004</v>
      </c>
      <c r="O10">
        <f>-10</f>
        <v>-10</v>
      </c>
      <c r="P10">
        <f>P9+(Q9-Q10)/TAN(2*Q$5-2*R$1)</f>
        <v>33.391767455510625</v>
      </c>
      <c r="Q10">
        <f>-10</f>
        <v>-10</v>
      </c>
      <c r="R10">
        <f>R9+(S9-S10)/TAN(2*S$5-2*T$1)</f>
        <v>39.88860204531619</v>
      </c>
      <c r="S10">
        <f>-10</f>
        <v>-10</v>
      </c>
      <c r="T10">
        <f>T9+(U9-U10)/TAN(2*U$5-2*V$1)</f>
        <v>48.682178796203246</v>
      </c>
      <c r="U10">
        <f>-10</f>
        <v>-10</v>
      </c>
      <c r="V10">
        <f>V9+(W9-W10)/TAN(2*W$5-2*X$1)</f>
        <v>62.315357773874318</v>
      </c>
      <c r="W10">
        <f>-10</f>
        <v>-10</v>
      </c>
      <c r="X10">
        <f>X9+(Y9-Y10)/TAN(2*Y$5-2*Z$1)</f>
        <v>88.316624987200655</v>
      </c>
      <c r="Y10">
        <f>-10</f>
        <v>-10</v>
      </c>
      <c r="Z10">
        <f>Z9+(AA9-AA10)/TAN(2*AA$5-2*AB$1)</f>
        <v>164.20633938091152</v>
      </c>
      <c r="AA10">
        <f>-10</f>
        <v>-10</v>
      </c>
      <c r="AB10">
        <f>AB9+(AC9-AC10)/TAN(2*AD1-2*AE1)</f>
        <v>24.930016552720218</v>
      </c>
      <c r="AC10">
        <f>-10</f>
        <v>-10</v>
      </c>
      <c r="AF10" t="s">
        <v>57</v>
      </c>
      <c r="AH10">
        <f>ACOS(AH9)</f>
        <v>0.72273424781341555</v>
      </c>
      <c r="AI10">
        <f>2*AH10</f>
        <v>1.4454684956268311</v>
      </c>
      <c r="AJ10" t="s">
        <v>60</v>
      </c>
      <c r="AM10">
        <f t="shared" si="5"/>
        <v>2</v>
      </c>
      <c r="AN10">
        <f t="shared" si="2"/>
        <v>-9.8000000000000007</v>
      </c>
      <c r="AO10">
        <f t="shared" si="3"/>
        <v>1.9899748742132348</v>
      </c>
      <c r="AP10">
        <f t="shared" si="4"/>
        <v>-1.9899748742132348</v>
      </c>
    </row>
    <row r="11" spans="1:42" x14ac:dyDescent="0.25">
      <c r="AF11" t="s">
        <v>58</v>
      </c>
      <c r="AH11">
        <f>XARXI</f>
        <v>-30</v>
      </c>
      <c r="AI11">
        <f>RCYCLE*SIN(AI10)</f>
        <v>9.9215674164922145</v>
      </c>
      <c r="AM11">
        <f t="shared" si="5"/>
        <v>3</v>
      </c>
      <c r="AN11">
        <f t="shared" si="2"/>
        <v>-9.6999999999999993</v>
      </c>
      <c r="AO11">
        <f t="shared" si="3"/>
        <v>2.4310491562286458</v>
      </c>
      <c r="AP11">
        <f t="shared" si="4"/>
        <v>-2.4310491562286458</v>
      </c>
    </row>
    <row r="12" spans="1:42" x14ac:dyDescent="0.25">
      <c r="J12">
        <f>XARXI</f>
        <v>-30</v>
      </c>
      <c r="K12">
        <f>-K7</f>
        <v>-9</v>
      </c>
      <c r="L12">
        <f>XARXI</f>
        <v>-30</v>
      </c>
      <c r="M12">
        <f>-M7</f>
        <v>-8</v>
      </c>
      <c r="N12">
        <f>XARXI</f>
        <v>-30</v>
      </c>
      <c r="O12">
        <f>-O7</f>
        <v>-7</v>
      </c>
      <c r="P12">
        <f>XARXI</f>
        <v>-30</v>
      </c>
      <c r="Q12">
        <f>-Q7</f>
        <v>-6</v>
      </c>
      <c r="R12">
        <f>XARXI</f>
        <v>-30</v>
      </c>
      <c r="S12">
        <f>-S7</f>
        <v>-5</v>
      </c>
      <c r="T12">
        <f>XARXI</f>
        <v>-30</v>
      </c>
      <c r="U12">
        <f>-U7</f>
        <v>-4</v>
      </c>
      <c r="V12">
        <f>XARXI</f>
        <v>-30</v>
      </c>
      <c r="W12">
        <f>-W7</f>
        <v>-3</v>
      </c>
      <c r="X12">
        <f>XARXI</f>
        <v>-30</v>
      </c>
      <c r="Y12">
        <f>-Y7</f>
        <v>-2</v>
      </c>
      <c r="Z12">
        <f>XARXI</f>
        <v>-30</v>
      </c>
      <c r="AA12">
        <f>-AA7</f>
        <v>-1</v>
      </c>
      <c r="AB12">
        <f>XARXI</f>
        <v>-30</v>
      </c>
      <c r="AC12">
        <f>AC13</f>
        <v>-7.6376261582597333</v>
      </c>
      <c r="AF12" t="s">
        <v>59</v>
      </c>
      <c r="AH12">
        <v>0</v>
      </c>
      <c r="AI12">
        <f>RCYCLE</f>
        <v>10</v>
      </c>
      <c r="AM12">
        <f t="shared" si="5"/>
        <v>4</v>
      </c>
      <c r="AN12">
        <f t="shared" si="2"/>
        <v>-9.6</v>
      </c>
      <c r="AO12">
        <f t="shared" si="3"/>
        <v>2.8000000000000007</v>
      </c>
      <c r="AP12">
        <f t="shared" si="4"/>
        <v>-2.8000000000000007</v>
      </c>
    </row>
    <row r="13" spans="1:42" x14ac:dyDescent="0.25">
      <c r="J13">
        <f>-SQRT(RCYCLE^2-K12^2)</f>
        <v>-4.358898943540674</v>
      </c>
      <c r="K13">
        <f>K12</f>
        <v>-9</v>
      </c>
      <c r="L13">
        <f>-SQRT(RCYCLE^2-M12^2)</f>
        <v>-6</v>
      </c>
      <c r="M13">
        <f>M12</f>
        <v>-8</v>
      </c>
      <c r="N13">
        <f>-SQRT(RCYCLE^2-O12^2)</f>
        <v>-7.1414284285428504</v>
      </c>
      <c r="O13">
        <f>O12</f>
        <v>-7</v>
      </c>
      <c r="P13">
        <f>-SQRT(RCYCLE^2-Q12^2)</f>
        <v>-8</v>
      </c>
      <c r="Q13">
        <f>Q12</f>
        <v>-6</v>
      </c>
      <c r="R13">
        <f>-SQRT(RCYCLE^2-S12^2)</f>
        <v>-8.6602540378443873</v>
      </c>
      <c r="S13">
        <f>S12</f>
        <v>-5</v>
      </c>
      <c r="T13">
        <f>-SQRT(RCYCLE^2-U12^2)</f>
        <v>-9.1651513899116797</v>
      </c>
      <c r="U13">
        <f>U12</f>
        <v>-4</v>
      </c>
      <c r="V13">
        <f>-SQRT(RCYCLE^2-W12^2)</f>
        <v>-9.5393920141694561</v>
      </c>
      <c r="W13">
        <f>W12</f>
        <v>-3</v>
      </c>
      <c r="X13">
        <f>-SQRT(RCYCLE^2-Y12^2)</f>
        <v>-9.7979589711327115</v>
      </c>
      <c r="Y13">
        <f>Y12</f>
        <v>-2</v>
      </c>
      <c r="Z13">
        <f>-SQRT(RCYCLE^2-AA12^2)</f>
        <v>-9.9498743710661994</v>
      </c>
      <c r="AA13">
        <f>AA12</f>
        <v>-1</v>
      </c>
      <c r="AB13">
        <f>-RCYCLE*COS(AD1)</f>
        <v>-6.4549722436790278</v>
      </c>
      <c r="AC13">
        <f>-RCYCLE*SIN(AD1)</f>
        <v>-7.6376261582597333</v>
      </c>
      <c r="AH13">
        <f>RCYCLE*COS(2*AH10-AI10)</f>
        <v>10</v>
      </c>
      <c r="AI13">
        <v>0</v>
      </c>
      <c r="AM13">
        <f t="shared" si="5"/>
        <v>5</v>
      </c>
      <c r="AN13">
        <f t="shared" si="2"/>
        <v>-9.5</v>
      </c>
      <c r="AO13">
        <f t="shared" si="3"/>
        <v>3.1224989991991992</v>
      </c>
      <c r="AP13">
        <f t="shared" si="4"/>
        <v>-3.1224989991991992</v>
      </c>
    </row>
    <row r="14" spans="1:42" x14ac:dyDescent="0.25">
      <c r="J14">
        <f>RCYCLE*COS(K$6)</f>
        <v>9.8604917041913893</v>
      </c>
      <c r="K14">
        <f>-RCYCLE*SIN(K$6)</f>
        <v>-1.6645429857990464</v>
      </c>
      <c r="L14">
        <f>RCYCLE*COS(M$6)</f>
        <v>9.8050574452335049</v>
      </c>
      <c r="M14">
        <f>-RCYCLE*SIN(M$6)</f>
        <v>-1.9649041950362398</v>
      </c>
      <c r="N14">
        <f>RCYCLE*COS(O$6)</f>
        <v>9.8092370144189278</v>
      </c>
      <c r="O14">
        <f>-RCYCLE*SIN(O$6)</f>
        <v>-1.9439313760916654</v>
      </c>
      <c r="P14">
        <f>RCYCLE*COS(Q$6)</f>
        <v>9.8392726671576067</v>
      </c>
      <c r="Q14">
        <f>-RCYCLE*SIN(Q$6)</f>
        <v>-1.7856968895434742</v>
      </c>
      <c r="R14">
        <f>RCYCLE*COS(S$6)</f>
        <v>9.8784499458191792</v>
      </c>
      <c r="S14">
        <f>-RCYCLE*SIN(S$6)</f>
        <v>-1.5544216506292841</v>
      </c>
      <c r="T14">
        <f>RCYCLE*COS(U$6)</f>
        <v>9.9177460074959338</v>
      </c>
      <c r="U14">
        <f>-RCYCLE*SIN(U$6)</f>
        <v>-1.2799664569036477</v>
      </c>
      <c r="V14">
        <f>RCYCLE*COS(W$6)</f>
        <v>9.9519957295718253</v>
      </c>
      <c r="W14">
        <f>-RCYCLE*SIN(W$6)</f>
        <v>-0.97866286257533519</v>
      </c>
      <c r="X14">
        <f>RCYCLE*COS(Y$6)</f>
        <v>9.9781584298415407</v>
      </c>
      <c r="Y14">
        <f>-RCYCLE*SIN(Y$6)</f>
        <v>-0.66057122930248857</v>
      </c>
      <c r="Z14">
        <f>RCYCLE*COS(AA$6)</f>
        <v>9.9944677504086847</v>
      </c>
      <c r="AA14">
        <f>-RCYCLE*SIN(AA$6)</f>
        <v>-0.33258741112791357</v>
      </c>
      <c r="AB14">
        <f>RCYCLE*COS(AD2)</f>
        <v>9.8019948885496362</v>
      </c>
      <c r="AC14">
        <f>-RCYCLE*SIN(AD2)</f>
        <v>-1.9801253002895602</v>
      </c>
      <c r="AH14">
        <f>AH13+(AI13-AI14)/TAN(AI10)</f>
        <v>11.259881576697426</v>
      </c>
      <c r="AI14">
        <f>-10</f>
        <v>-10</v>
      </c>
      <c r="AM14">
        <f t="shared" si="5"/>
        <v>6</v>
      </c>
      <c r="AN14">
        <f t="shared" si="2"/>
        <v>-9.4</v>
      </c>
      <c r="AO14">
        <f t="shared" si="3"/>
        <v>3.4117444218463944</v>
      </c>
      <c r="AP14">
        <f t="shared" si="4"/>
        <v>-3.4117444218463944</v>
      </c>
    </row>
    <row r="15" spans="1:42" x14ac:dyDescent="0.25">
      <c r="J15">
        <f>J14+(K15-K14)/TAN(2*K$5-2*L$1)</f>
        <v>18.1573028111155</v>
      </c>
      <c r="K15">
        <v>10</v>
      </c>
      <c r="L15">
        <f>L14+(M15-M14)/TAN(2*M$5-2*N$1)</f>
        <v>23.187873923086695</v>
      </c>
      <c r="M15">
        <v>10</v>
      </c>
      <c r="N15">
        <f>N14+(O15-O14)/TAN(2*O$5-2*P$1)</f>
        <v>28.049156329102004</v>
      </c>
      <c r="O15">
        <v>10</v>
      </c>
      <c r="P15">
        <f>P14+(Q15-Q14)/TAN(2*Q$5-2*R$1)</f>
        <v>33.391767455510625</v>
      </c>
      <c r="Q15">
        <v>10</v>
      </c>
      <c r="R15">
        <f>R14+(S15-S14)/TAN(2*S$5-2*T$1)</f>
        <v>39.88860204531619</v>
      </c>
      <c r="S15">
        <v>10</v>
      </c>
      <c r="T15">
        <f>T14+(U15-U14)/TAN(2*U$5-2*V$1)</f>
        <v>48.682178796203246</v>
      </c>
      <c r="U15">
        <v>10</v>
      </c>
      <c r="V15">
        <f>V14+(W15-W14)/TAN(2*W$5-2*X$1)</f>
        <v>62.315357773874318</v>
      </c>
      <c r="W15">
        <v>10</v>
      </c>
      <c r="X15">
        <f>X14+(Y15-Y14)/TAN(2*Y$5-2*Z$1)</f>
        <v>88.316624987200655</v>
      </c>
      <c r="Y15">
        <v>10</v>
      </c>
      <c r="Z15">
        <f>Z14+(AA15-AA14)/TAN(2*AA$5-2*AB$1)</f>
        <v>164.20633938091152</v>
      </c>
      <c r="AA15">
        <v>10</v>
      </c>
      <c r="AB15">
        <f>AB14+(AC15-AC14)/TAN(2*AD1-2*AE1)</f>
        <v>24.930016552720218</v>
      </c>
      <c r="AC15">
        <f>10</f>
        <v>10</v>
      </c>
      <c r="AM15">
        <f t="shared" si="5"/>
        <v>7</v>
      </c>
      <c r="AN15">
        <f t="shared" si="2"/>
        <v>-9.3000000000000007</v>
      </c>
      <c r="AO15">
        <f t="shared" si="3"/>
        <v>3.6755951898978201</v>
      </c>
      <c r="AP15">
        <f t="shared" si="4"/>
        <v>-3.6755951898978201</v>
      </c>
    </row>
    <row r="16" spans="1:42" x14ac:dyDescent="0.25">
      <c r="L16" t="s">
        <v>18</v>
      </c>
      <c r="M16" t="s">
        <v>19</v>
      </c>
      <c r="N16" t="s">
        <v>20</v>
      </c>
      <c r="AM16">
        <f t="shared" si="5"/>
        <v>8</v>
      </c>
      <c r="AN16">
        <f t="shared" si="2"/>
        <v>-9.1999999999999993</v>
      </c>
      <c r="AO16">
        <f t="shared" si="3"/>
        <v>3.9191835884530866</v>
      </c>
      <c r="AP16">
        <f t="shared" si="4"/>
        <v>-3.9191835884530866</v>
      </c>
    </row>
    <row r="17" spans="2:42" x14ac:dyDescent="0.25">
      <c r="I17" t="s">
        <v>21</v>
      </c>
      <c r="J17">
        <f>(J8-XARXI)/caera</f>
        <v>25.641101056459327</v>
      </c>
      <c r="K17">
        <f>SQRT((J9-J8)^2+(K9-K8)^2)/cmeso</f>
        <v>24</v>
      </c>
      <c r="L17">
        <f>(L8-XARXI)/caera</f>
        <v>24</v>
      </c>
      <c r="M17">
        <f>SQRT((L9-L8)^2+(M9-M8)^2)/cmeso</f>
        <v>25.37715508089904</v>
      </c>
      <c r="N17">
        <f>(N8-XARXI)/caera</f>
        <v>22.858571571457148</v>
      </c>
      <c r="O17">
        <f>SQRT((N9-N8)^2+(O9-O8)^2)/cmeso</f>
        <v>26.532998322843202</v>
      </c>
      <c r="P17">
        <f>(P8-XARXI)/caera</f>
        <v>22</v>
      </c>
      <c r="Q17">
        <f>SQRT((P9-P8)^2+(Q9-Q8)^2)/cmeso</f>
        <v>27.495454169735044</v>
      </c>
      <c r="R17">
        <f>(R8-XARXI)/caera</f>
        <v>21.339745962155611</v>
      </c>
      <c r="S17">
        <f>SQRT((R9-R8)^2+(S9-S8)^2)/cmeso</f>
        <v>28.284271247461902</v>
      </c>
      <c r="T17">
        <f>(T8-XARXI)/caera</f>
        <v>20.834848610088322</v>
      </c>
      <c r="U17">
        <f>SQRT((T9-T8)^2+(U9-U8)^2)/cmeso</f>
        <v>28.913664589601922</v>
      </c>
      <c r="V17">
        <f>(V8-XARXI)/caera</f>
        <v>20.460607985830542</v>
      </c>
      <c r="W17">
        <f>SQRT((V9-V8)^2+(W9-W8)^2)/cmeso</f>
        <v>29.393876913398135</v>
      </c>
      <c r="X17">
        <f>(X8-XARXI)/caera</f>
        <v>20.202041028867288</v>
      </c>
      <c r="Y17">
        <f>SQRT((X9-X8)^2+(Y9-Y8)^2)/cmeso</f>
        <v>29.732137494637009</v>
      </c>
      <c r="Z17">
        <f>(Z8-XARXI)/caera</f>
        <v>20.050125628933799</v>
      </c>
      <c r="AA17">
        <f>SQRT((Z9-Z8)^2+(AA9-AA8)^2)/cmeso</f>
        <v>29.933259094191531</v>
      </c>
      <c r="AH17">
        <f>XARXI</f>
        <v>-30</v>
      </c>
      <c r="AI17">
        <f>-RCYCLE*SIN(AI10)</f>
        <v>-9.9215674164922145</v>
      </c>
      <c r="AM17">
        <f t="shared" si="5"/>
        <v>9</v>
      </c>
      <c r="AN17">
        <f t="shared" si="2"/>
        <v>-9.1</v>
      </c>
      <c r="AO17">
        <f t="shared" si="3"/>
        <v>4.1460824883255771</v>
      </c>
      <c r="AP17">
        <f t="shared" si="4"/>
        <v>-4.1460824883255771</v>
      </c>
    </row>
    <row r="18" spans="2:42" x14ac:dyDescent="0.25">
      <c r="I18" t="s">
        <v>22</v>
      </c>
      <c r="J18">
        <f>(J13-XARXI)/caera</f>
        <v>25.641101056459327</v>
      </c>
      <c r="K18">
        <f>SQRT((J14-J13)^2+(K14-K13)^2)/cmeso</f>
        <v>24</v>
      </c>
      <c r="L18">
        <f>(L13-XARXI)/caera</f>
        <v>24</v>
      </c>
      <c r="M18">
        <f>SQRT((L14-L13)^2+(M14-M13)^2)/cmeso</f>
        <v>25.37715508089904</v>
      </c>
      <c r="N18">
        <f>(N13-XARXI)/caera</f>
        <v>22.858571571457148</v>
      </c>
      <c r="O18">
        <f>SQRT((N14-N13)^2+(O14-O13)^2)/cmeso</f>
        <v>26.532998322843202</v>
      </c>
      <c r="P18">
        <f>(P13-XARXI)/caera</f>
        <v>22</v>
      </c>
      <c r="Q18">
        <f>SQRT((P14-P13)^2+(Q14-Q13)^2)/cmeso</f>
        <v>27.495454169735044</v>
      </c>
      <c r="R18">
        <f>(R13-XARXI)/caera</f>
        <v>21.339745962155611</v>
      </c>
      <c r="S18">
        <f>SQRT((R14-R13)^2+(S14-S13)^2)/cmeso</f>
        <v>28.284271247461902</v>
      </c>
      <c r="T18">
        <f>(T13-XARXI)/caera</f>
        <v>20.834848610088322</v>
      </c>
      <c r="U18">
        <f>SQRT((T14-T13)^2+(U14-U13)^2)/cmeso</f>
        <v>28.913664589601922</v>
      </c>
      <c r="V18">
        <f>(V13-XARXI)/caera</f>
        <v>20.460607985830542</v>
      </c>
      <c r="W18">
        <f>SQRT((V14-V13)^2+(W14-W13)^2)/cmeso</f>
        <v>29.393876913398135</v>
      </c>
      <c r="X18">
        <f>(X13-XARXI)/caera</f>
        <v>20.202041028867288</v>
      </c>
      <c r="Y18">
        <f>SQRT((X14-X13)^2+(Y14-Y13)^2)/cmeso</f>
        <v>29.732137494637009</v>
      </c>
      <c r="Z18">
        <f>(Z13-XARXI)/caera</f>
        <v>20.050125628933799</v>
      </c>
      <c r="AA18">
        <f>SQRT((Z14-Z13)^2+(AA14-AA13)^2)/cmeso</f>
        <v>29.933259094191531</v>
      </c>
      <c r="AH18">
        <v>0</v>
      </c>
      <c r="AI18">
        <f>-RCYCLE</f>
        <v>-10</v>
      </c>
      <c r="AM18">
        <f t="shared" si="5"/>
        <v>10</v>
      </c>
      <c r="AN18">
        <f t="shared" si="2"/>
        <v>-9</v>
      </c>
      <c r="AO18">
        <f t="shared" si="3"/>
        <v>4.358898943540674</v>
      </c>
      <c r="AP18">
        <f t="shared" si="4"/>
        <v>-4.358898943540674</v>
      </c>
    </row>
    <row r="19" spans="2:42" x14ac:dyDescent="0.25">
      <c r="I19" t="s">
        <v>23</v>
      </c>
      <c r="J19">
        <f>SQRT((J10-J9)^2+(K10-K9)^2)/caera</f>
        <v>14.314280897465057</v>
      </c>
      <c r="K19">
        <f>ATAN((K9-K8)/(J9-J8))</f>
        <v>-0.47626840620534983</v>
      </c>
      <c r="L19">
        <f>SQRT((L10-L9)^2+(M10-M9)^2)/caera</f>
        <v>17.95156564972244</v>
      </c>
      <c r="M19">
        <f>ATAN((M9-M8)/(L9-L8))</f>
        <v>-0.3647589734577566</v>
      </c>
      <c r="N19">
        <f>SQRT((N10-N9)^2+(O10-O9)^2)/caera</f>
        <v>21.802572172175829</v>
      </c>
      <c r="O19">
        <f>ATAN((O9-O8)/(N9-N8))</f>
        <v>-0.28987937431516203</v>
      </c>
      <c r="P19">
        <f>SQRT((P10-P9)^2+(Q10-Q9)^2)/caera</f>
        <v>26.336716992206728</v>
      </c>
      <c r="Q19">
        <f>ATAN((Q9-Q8)/(P9-P8))</f>
        <v>-0.23198426272579639</v>
      </c>
      <c r="R19">
        <f>SQRT((R10-R9)^2+(S10-S9)^2)/caera</f>
        <v>32.157641218153358</v>
      </c>
      <c r="S19">
        <f>ATAN((S9-S8)/(R9-R8))</f>
        <v>-0.18376186614417694</v>
      </c>
      <c r="T19">
        <f>SQRT((T10-T9)^2+(U10-U9)^2)/caera</f>
        <v>40.372253995771374</v>
      </c>
      <c r="U19">
        <f>ATAN((U9-U8)/(T9-T8))</f>
        <v>-0.14158405023408455</v>
      </c>
      <c r="V19">
        <f>SQRT((V10-V9)^2+(W10-W9)^2)/caera</f>
        <v>53.50189457236808</v>
      </c>
      <c r="W19">
        <f>ATAN((W9-W8)/(V9-V8))</f>
        <v>-0.10333473322506673</v>
      </c>
      <c r="X19">
        <f>SQRT((X10-X9)^2+(Y10-Y9)^2)/caera</f>
        <v>79.0605029170287</v>
      </c>
      <c r="Y19">
        <f>ATAN((Y9-Y8)/(X9-X8))</f>
        <v>-6.7626331380389273E-2</v>
      </c>
      <c r="Z19">
        <f>SQRT((Z10-Z9)^2+(AA10-AA9)^2)/caera</f>
        <v>154.55763880957576</v>
      </c>
      <c r="AA19">
        <f>ATAN((AA9-AA8)/(Z9-Z8))</f>
        <v>-3.345127275133454E-2</v>
      </c>
      <c r="AH19">
        <f>RCYCLE*COS(2*AH16-AI16)</f>
        <v>10</v>
      </c>
      <c r="AI19">
        <v>0</v>
      </c>
      <c r="AM19">
        <f t="shared" si="5"/>
        <v>11</v>
      </c>
      <c r="AN19">
        <f t="shared" si="2"/>
        <v>-8.9</v>
      </c>
      <c r="AO19">
        <f t="shared" si="3"/>
        <v>4.5596052460711984</v>
      </c>
      <c r="AP19">
        <f t="shared" si="4"/>
        <v>-4.5596052460711984</v>
      </c>
    </row>
    <row r="20" spans="2:42" x14ac:dyDescent="0.25">
      <c r="I20" t="s">
        <v>24</v>
      </c>
      <c r="J20">
        <f>SQRT((J15-J14)^2+(K15-K14)^2)/caera</f>
        <v>14.314280897465057</v>
      </c>
      <c r="K20">
        <f>ATAN((K14-K13)/(J14-J13))</f>
        <v>0.47626840620534983</v>
      </c>
      <c r="L20">
        <f>SQRT((L15-L14)^2+(M15-M14)^2)/caera</f>
        <v>17.95156564972244</v>
      </c>
      <c r="M20">
        <f>ATAN((M14-M13)/(L14-L13))</f>
        <v>0.3647589734577566</v>
      </c>
      <c r="N20">
        <f>SQRT((N15-N14)^2+(O15-O14)^2)/caera</f>
        <v>21.802572172175829</v>
      </c>
      <c r="O20">
        <f>ATAN((O14-O13)/(N14-N13))</f>
        <v>0.28987937431516203</v>
      </c>
      <c r="P20">
        <f>SQRT((P15-P14)^2+(Q15-Q14)^2)/caera</f>
        <v>26.336716992206728</v>
      </c>
      <c r="Q20">
        <f>ATAN((Q14-Q13)/(P14-P13))</f>
        <v>0.23198426272579639</v>
      </c>
      <c r="R20">
        <f>SQRT((R15-R14)^2+(S15-S14)^2)/caera</f>
        <v>32.157641218153358</v>
      </c>
      <c r="S20">
        <f>ATAN((S14-S13)/(R14-R13))</f>
        <v>0.18376186614417694</v>
      </c>
      <c r="T20">
        <f>SQRT((T15-T14)^2+(U15-U14)^2)/caera</f>
        <v>40.372253995771374</v>
      </c>
      <c r="U20">
        <f>ATAN((U14-U13)/(T14-T13))</f>
        <v>0.14158405023408455</v>
      </c>
      <c r="V20">
        <f>SQRT((V15-V14)^2+(W15-W14)^2)/caera</f>
        <v>53.50189457236808</v>
      </c>
      <c r="W20">
        <f>ATAN((W14-W13)/(V14-V13))</f>
        <v>0.10333473322506673</v>
      </c>
      <c r="X20">
        <f>SQRT((X15-X14)^2+(Y15-Y14)^2)/caera</f>
        <v>79.0605029170287</v>
      </c>
      <c r="Y20">
        <f>ATAN((Y14-Y13)/(X14-X13))</f>
        <v>6.7626331380389273E-2</v>
      </c>
      <c r="Z20">
        <f>SQRT((Z15-Z14)^2+(AA15-AA14)^2)/caera</f>
        <v>154.55763880957576</v>
      </c>
      <c r="AA20">
        <f>ATAN((AA14-AA13)/(Z14-Z13))</f>
        <v>3.345127275133454E-2</v>
      </c>
      <c r="AH20">
        <f>AH19-(AI19-AI20)/TAN(AI10)</f>
        <v>11.259881576697426</v>
      </c>
      <c r="AI20">
        <f>10</f>
        <v>10</v>
      </c>
      <c r="AM20">
        <f t="shared" si="5"/>
        <v>12</v>
      </c>
      <c r="AN20">
        <f t="shared" si="2"/>
        <v>-8.8000000000000007</v>
      </c>
      <c r="AO20">
        <f t="shared" si="3"/>
        <v>4.7497368348151658</v>
      </c>
      <c r="AP20">
        <f t="shared" si="4"/>
        <v>-4.7497368348151658</v>
      </c>
    </row>
    <row r="21" spans="2:42" x14ac:dyDescent="0.25">
      <c r="I21" t="s">
        <v>25</v>
      </c>
      <c r="J21">
        <f>cmeso*COS(K19)</f>
        <v>0.59247461032216919</v>
      </c>
      <c r="K21">
        <f>cmeso*SIN(K19)</f>
        <v>-0.30564404225837305</v>
      </c>
      <c r="L21">
        <f>cmeso*COS(M19)</f>
        <v>0.62280651218976502</v>
      </c>
      <c r="M21">
        <f>cmeso*SIN(M19)</f>
        <v>-0.23781609032709405</v>
      </c>
      <c r="N21">
        <f>cmeso*COS(O19)</f>
        <v>0.63885224114940475</v>
      </c>
      <c r="O21">
        <f>cmeso*SIN(O19)</f>
        <v>-0.19055775613400561</v>
      </c>
      <c r="P21">
        <f>cmeso*COS(Q19)</f>
        <v>0.64880807412862285</v>
      </c>
      <c r="Q21">
        <f>cmeso*SIN(Q19)</f>
        <v>-0.15327272226313388</v>
      </c>
      <c r="R21">
        <f>cmeso*COS(S19)</f>
        <v>0.65544216506292841</v>
      </c>
      <c r="S21">
        <f>cmeso*SIN(S19)</f>
        <v>-0.1218195907974792</v>
      </c>
      <c r="T21">
        <f>cmeso*COS(U19)</f>
        <v>0.65999580711295591</v>
      </c>
      <c r="U21">
        <f>cmeso*SIN(U19)</f>
        <v>-9.4074327198031618E-2</v>
      </c>
      <c r="V21">
        <f>cmeso*COS(W19)</f>
        <v>0.66311047709588911</v>
      </c>
      <c r="W21">
        <f>cmeso*SIN(W19)</f>
        <v>-6.8767285900394826E-2</v>
      </c>
      <c r="X21">
        <f>cmeso*COS(Y19)</f>
        <v>0.66514280732562214</v>
      </c>
      <c r="Y21">
        <f>cmeso*SIN(Y19)</f>
        <v>-4.5049864677207049E-2</v>
      </c>
      <c r="Z21">
        <f>cmeso*COS(AA19)</f>
        <v>0.66629370556395673</v>
      </c>
      <c r="AA21">
        <f>cmeso*SIN(AA19)</f>
        <v>-2.2296689671242518E-2</v>
      </c>
      <c r="AM21">
        <f t="shared" si="5"/>
        <v>13</v>
      </c>
      <c r="AN21">
        <f t="shared" si="2"/>
        <v>-8.6999999999999993</v>
      </c>
      <c r="AO21">
        <f t="shared" si="3"/>
        <v>4.9305172142484217</v>
      </c>
      <c r="AP21">
        <f t="shared" si="4"/>
        <v>-4.9305172142484217</v>
      </c>
    </row>
    <row r="22" spans="2:42" ht="24" thickBot="1" x14ac:dyDescent="0.4">
      <c r="D22" s="1" t="s">
        <v>16</v>
      </c>
      <c r="E22" s="1">
        <f>F22/10</f>
        <v>35.700000000000003</v>
      </c>
      <c r="F22">
        <v>357</v>
      </c>
      <c r="I22" t="s">
        <v>26</v>
      </c>
      <c r="J22">
        <f>cmeso*COS(K20)</f>
        <v>0.59247461032216919</v>
      </c>
      <c r="K22">
        <f>cmeso*SIN(K20)</f>
        <v>0.30564404225837305</v>
      </c>
      <c r="L22">
        <f>cmeso*COS(M20)</f>
        <v>0.62280651218976502</v>
      </c>
      <c r="M22">
        <f>cmeso*SIN(M20)</f>
        <v>0.23781609032709405</v>
      </c>
      <c r="N22">
        <f>cmeso*COS(O20)</f>
        <v>0.63885224114940475</v>
      </c>
      <c r="O22">
        <f>cmeso*SIN(O20)</f>
        <v>0.19055775613400561</v>
      </c>
      <c r="P22">
        <f>cmeso*COS(Q20)</f>
        <v>0.64880807412862285</v>
      </c>
      <c r="Q22">
        <f>cmeso*SIN(Q20)</f>
        <v>0.15327272226313388</v>
      </c>
      <c r="R22">
        <f>cmeso*COS(S20)</f>
        <v>0.65544216506292841</v>
      </c>
      <c r="S22">
        <f>cmeso*SIN(S20)</f>
        <v>0.1218195907974792</v>
      </c>
      <c r="T22">
        <f>cmeso*COS(U20)</f>
        <v>0.65999580711295591</v>
      </c>
      <c r="U22">
        <f>cmeso*SIN(U20)</f>
        <v>9.4074327198031618E-2</v>
      </c>
      <c r="V22">
        <f>cmeso*COS(W20)</f>
        <v>0.66311047709588911</v>
      </c>
      <c r="W22">
        <f>cmeso*SIN(W20)</f>
        <v>6.8767285900394826E-2</v>
      </c>
      <c r="X22">
        <f>cmeso*COS(Y20)</f>
        <v>0.66514280732562214</v>
      </c>
      <c r="Y22">
        <f>cmeso*SIN(Y20)</f>
        <v>4.5049864677207049E-2</v>
      </c>
      <c r="Z22">
        <f>cmeso*COS(AA20)</f>
        <v>0.66629370556395673</v>
      </c>
      <c r="AA22">
        <f>cmeso*SIN(AA20)</f>
        <v>2.2296689671242518E-2</v>
      </c>
      <c r="AM22">
        <f t="shared" si="5"/>
        <v>14</v>
      </c>
      <c r="AN22">
        <f t="shared" si="2"/>
        <v>-8.6</v>
      </c>
      <c r="AO22">
        <f t="shared" si="3"/>
        <v>5.1029403288692299</v>
      </c>
      <c r="AP22">
        <f t="shared" si="4"/>
        <v>-5.1029403288692299</v>
      </c>
    </row>
    <row r="23" spans="2:42" ht="16.5" thickTop="1" thickBot="1" x14ac:dyDescent="0.3">
      <c r="B23" s="2"/>
      <c r="C23" s="2"/>
      <c r="D23" s="2"/>
      <c r="E23" s="2"/>
      <c r="F23" s="2"/>
      <c r="I23" t="s">
        <v>27</v>
      </c>
      <c r="J23">
        <f>ATAN((K10-K9)/(J10-J9))</f>
        <v>-0.95253681241069954</v>
      </c>
      <c r="L23">
        <f>ATAN((M10-M9)/(L10-L9))</f>
        <v>-0.7295179469155133</v>
      </c>
      <c r="N23">
        <f>ATAN((O10-O9)/(N10-N9))</f>
        <v>-0.57975874863032406</v>
      </c>
      <c r="P23">
        <f>ATAN((Q10-Q9)/(P10-P9))</f>
        <v>-0.46396852545159284</v>
      </c>
      <c r="R23">
        <f>ATAN((S10-S9)/(R10-R9))</f>
        <v>-0.367523732288354</v>
      </c>
      <c r="T23">
        <f>ATAN((U10-U9)/(T10-T9))</f>
        <v>-0.28316810046816909</v>
      </c>
      <c r="V23">
        <f>ATAN((W10-W9)/(V10-V9))</f>
        <v>-0.20666946645013345</v>
      </c>
      <c r="X23">
        <f>ATAN((Y10-Y9)/(X10-X9))</f>
        <v>-0.13525266276077857</v>
      </c>
      <c r="Z23">
        <f>ATAN((AA10-AA9)/(Z10-Z9))</f>
        <v>-6.6902545502669081E-2</v>
      </c>
      <c r="AM23">
        <f t="shared" si="5"/>
        <v>15</v>
      </c>
      <c r="AN23">
        <f t="shared" si="2"/>
        <v>-8.5</v>
      </c>
      <c r="AO23">
        <f t="shared" si="3"/>
        <v>5.2678268764263692</v>
      </c>
      <c r="AP23">
        <f t="shared" si="4"/>
        <v>-5.2678268764263692</v>
      </c>
    </row>
    <row r="24" spans="2:42" ht="16.5" thickTop="1" thickBot="1" x14ac:dyDescent="0.3">
      <c r="B24" s="2"/>
      <c r="C24" s="2"/>
      <c r="D24" s="2"/>
      <c r="E24" s="2"/>
      <c r="F24" s="2"/>
      <c r="J24">
        <f>ATAN((K15-K14)/(J15-J14))</f>
        <v>0.95253681241069954</v>
      </c>
      <c r="L24">
        <f>ATAN((M15-M14)/(L15-L14))</f>
        <v>0.7295179469155133</v>
      </c>
      <c r="N24">
        <f>ATAN((O15-O14)/(N15-N14))</f>
        <v>0.57975874863032406</v>
      </c>
      <c r="P24">
        <f>ATAN((Q15-Q14)/(P15-P14))</f>
        <v>0.46396852545159284</v>
      </c>
      <c r="R24">
        <f>ATAN((S15-S14)/(R15-R14))</f>
        <v>0.367523732288354</v>
      </c>
      <c r="T24">
        <f>ATAN((U15-U14)/(T15-T14))</f>
        <v>0.28316810046816909</v>
      </c>
      <c r="V24">
        <f>ATAN((W15-W14)/(V15-V14))</f>
        <v>0.20666946645013345</v>
      </c>
      <c r="X24">
        <f>ATAN((Y15-Y14)/(X15-X14))</f>
        <v>0.13525266276077857</v>
      </c>
      <c r="Z24">
        <f>ATAN((AA15-AA14)/(Z15-Z14))</f>
        <v>6.6902545502669081E-2</v>
      </c>
      <c r="AE24" t="s">
        <v>47</v>
      </c>
      <c r="AM24">
        <f t="shared" si="5"/>
        <v>16</v>
      </c>
      <c r="AN24">
        <f t="shared" si="2"/>
        <v>-8.4</v>
      </c>
      <c r="AO24">
        <f t="shared" si="3"/>
        <v>5.4258639865002145</v>
      </c>
      <c r="AP24">
        <f t="shared" si="4"/>
        <v>-5.4258639865002145</v>
      </c>
    </row>
    <row r="25" spans="2:42" ht="16.5" thickTop="1" thickBot="1" x14ac:dyDescent="0.3">
      <c r="B25" s="2"/>
      <c r="C25" s="2"/>
      <c r="D25" s="2"/>
      <c r="E25" s="2"/>
      <c r="F25" s="2"/>
      <c r="I25" t="s">
        <v>28</v>
      </c>
      <c r="J25">
        <f>caera*COS(J$23)</f>
        <v>0.57961773744382838</v>
      </c>
      <c r="K25">
        <f>caera*SIN(J23)</f>
        <v>-0.8148885067544499</v>
      </c>
      <c r="L25">
        <f>caera*COS(L$23)</f>
        <v>0.74549578231690938</v>
      </c>
      <c r="M25">
        <f>caera*SIN(L23)</f>
        <v>-0.6665103439165061</v>
      </c>
      <c r="N25">
        <f>caera*COS(N$23)</f>
        <v>0.83659483709727778</v>
      </c>
      <c r="O25">
        <f>caera*SIN(N23)</f>
        <v>-0.54782212308575051</v>
      </c>
      <c r="P25">
        <f>caera*COS(P$23)</f>
        <v>0.894283626745217</v>
      </c>
      <c r="Q25">
        <f>caera*SIN(P23)</f>
        <v>-0.44750060886597848</v>
      </c>
      <c r="R25">
        <f>caera*COS(R$23)</f>
        <v>0.9332199428407062</v>
      </c>
      <c r="S25">
        <f>caera*SIN(R23)</f>
        <v>-0.35930563352720907</v>
      </c>
      <c r="T25">
        <f>caera*COS(T$23)</f>
        <v>0.96017509433006953</v>
      </c>
      <c r="U25">
        <f>caera*SIN(T23)</f>
        <v>-0.27939897678452935</v>
      </c>
      <c r="V25">
        <f>caera*COS(V$23)</f>
        <v>0.97871977175452007</v>
      </c>
      <c r="W25">
        <f>caera*SIN(V23)</f>
        <v>-0.20520138492900106</v>
      </c>
      <c r="X25">
        <f>caera*COS(X$23)</f>
        <v>0.99086729361654402</v>
      </c>
      <c r="Y25">
        <f>caera*SIN(X23)</f>
        <v>-0.13484067057466601</v>
      </c>
      <c r="Z25">
        <f>caera*COS(Z$23)</f>
        <v>0.99776285933366937</v>
      </c>
      <c r="AA25">
        <f>caera*SIN(Z23)</f>
        <v>-6.6852647922878011E-2</v>
      </c>
      <c r="AM25">
        <f t="shared" si="5"/>
        <v>17</v>
      </c>
      <c r="AN25">
        <f t="shared" si="2"/>
        <v>-8.3000000000000007</v>
      </c>
      <c r="AO25">
        <f t="shared" si="3"/>
        <v>5.5776339069537348</v>
      </c>
      <c r="AP25">
        <f t="shared" si="4"/>
        <v>-5.5776339069537348</v>
      </c>
    </row>
    <row r="26" spans="2:42" ht="15.75" thickTop="1" x14ac:dyDescent="0.25">
      <c r="B26" t="s">
        <v>63</v>
      </c>
      <c r="G26" t="s">
        <v>17</v>
      </c>
      <c r="J26">
        <f>caera*COS(J$23)</f>
        <v>0.57961773744382838</v>
      </c>
      <c r="K26">
        <f>caera*SIN(J24)</f>
        <v>0.8148885067544499</v>
      </c>
      <c r="L26">
        <f>caera*COS(L$23)</f>
        <v>0.74549578231690938</v>
      </c>
      <c r="M26">
        <f>caera*SIN(L24)</f>
        <v>0.6665103439165061</v>
      </c>
      <c r="N26">
        <f>caera*COS(N$23)</f>
        <v>0.83659483709727778</v>
      </c>
      <c r="O26">
        <f>caera*SIN(N24)</f>
        <v>0.54782212308575051</v>
      </c>
      <c r="P26">
        <f>caera*COS(P$23)</f>
        <v>0.894283626745217</v>
      </c>
      <c r="Q26">
        <f>caera*SIN(P24)</f>
        <v>0.44750060886597848</v>
      </c>
      <c r="R26">
        <f>caera*COS(R$23)</f>
        <v>0.9332199428407062</v>
      </c>
      <c r="S26">
        <f>caera*SIN(R24)</f>
        <v>0.35930563352720907</v>
      </c>
      <c r="T26">
        <f>caera*COS(T$23)</f>
        <v>0.96017509433006953</v>
      </c>
      <c r="U26">
        <f>caera*SIN(T24)</f>
        <v>0.27939897678452935</v>
      </c>
      <c r="V26">
        <f>caera*COS(V$23)</f>
        <v>0.97871977175452007</v>
      </c>
      <c r="W26">
        <f>caera*SIN(V24)</f>
        <v>0.20520138492900106</v>
      </c>
      <c r="X26">
        <f>caera*COS(X$23)</f>
        <v>0.99086729361654402</v>
      </c>
      <c r="Y26">
        <f>caera*SIN(X24)</f>
        <v>0.13484067057466601</v>
      </c>
      <c r="Z26">
        <f>caera*COS(Z$23)</f>
        <v>0.99776285933366937</v>
      </c>
      <c r="AA26">
        <f>caera*SIN(Z24)</f>
        <v>6.6852647922878011E-2</v>
      </c>
      <c r="AM26">
        <f t="shared" si="5"/>
        <v>18</v>
      </c>
      <c r="AN26">
        <f t="shared" si="2"/>
        <v>-8.1999999999999993</v>
      </c>
      <c r="AO26">
        <f t="shared" si="3"/>
        <v>5.7236352085016744</v>
      </c>
      <c r="AP26">
        <f t="shared" si="4"/>
        <v>-5.7236352085016744</v>
      </c>
    </row>
    <row r="27" spans="2:42" x14ac:dyDescent="0.25">
      <c r="I27" t="s">
        <v>67</v>
      </c>
      <c r="AM27">
        <f t="shared" si="5"/>
        <v>19</v>
      </c>
      <c r="AN27">
        <f t="shared" si="2"/>
        <v>-8.1</v>
      </c>
      <c r="AO27">
        <f t="shared" si="3"/>
        <v>5.8642987645583</v>
      </c>
      <c r="AP27">
        <f t="shared" si="4"/>
        <v>-5.8642987645583</v>
      </c>
    </row>
    <row r="28" spans="2:42" x14ac:dyDescent="0.25">
      <c r="G28" t="s">
        <v>66</v>
      </c>
      <c r="H28">
        <v>5</v>
      </c>
      <c r="I28">
        <v>0</v>
      </c>
      <c r="J28" s="5">
        <f>IF(t-DWAVE*$I28&lt;J$17,XARXI+caera*(t-DWAVE*$I28),IF(AND(t-DWAVE*$I28&gt;J$17,t&lt;J$17+K$17),J$8+J$21*(t-DWAVE*$I28-J$17),J$9+J$25*(t-DWAVE*$I28-J$17-K$17)))</f>
        <v>1.6007432883036676</v>
      </c>
      <c r="K28" s="5">
        <f>IF(t-DWAVE*$I28&lt;J$17,K$7,IF(AND(t-DWAVE*$I28&gt;J$17,t-DWAVE*$I28&lt;J$17+K$17),K$8+K$21*(t-DWAVE*$I28-J$17),K$9+K$25*(t-DWAVE*$I28-(J$17+K$17))))</f>
        <v>5.9255574662277493</v>
      </c>
      <c r="L28" s="5">
        <f>IF(t-DWAVE*$I28&lt;L$17,XARXI+caera*(t-DWAVE*$I28),IF(AND(t-DWAVE*$I28&gt;L$17,t&lt;L$17+M$17),L$8+L$21*(t-DWAVE*$I28-L$17),L$9+L$25*(t-DWAVE*$I28-L$17-M$17)))</f>
        <v>1.2868361926202523</v>
      </c>
      <c r="M28" s="5">
        <f>IF(t-DWAVE*$I28&lt;L$17,M$7,IF(AND(t-DWAVE*$I28&gt;L$17,t-DWAVE*$I28&lt;L$17+M$17),M$8+M$21*(t-DWAVE*$I28-L$17),M$9+M$25*(t-DWAVE*$I28-(L$17+M$17))))</f>
        <v>5.217551743172999</v>
      </c>
      <c r="N28" s="5">
        <f>IF(t-DWAVE*$I28&lt;N$17,XARXI+caera*(t-DWAVE*$I28),IF(AND(t-DWAVE*$I28&gt;N$17,t&lt;N$17+O$17),N$8+N$21*(t-DWAVE*$I28-N$17),N$9+N$25*(t-DWAVE*$I28-N$17-O$17)))</f>
        <v>1.0623469025914307</v>
      </c>
      <c r="O28" s="5">
        <f>IF(t-DWAVE*$I28&lt;N$17,O$7,IF(AND(t-DWAVE*$I28&gt;N$17,t-DWAVE*$I28&lt;N$17+O$17),O$8+O$21*(t-DWAVE*$I28-N$17),O$9+O$25*(t-DWAVE*$I28-(N$17+O$17))))</f>
        <v>4.5529662131014437</v>
      </c>
      <c r="P28" s="5">
        <f>IF(t-DWAVE*$I28&lt;P$17,XARXI+caera*(t-DWAVE*$I28),IF(AND(t-DWAVE*$I28&gt;P$17,t&lt;P$17+Q$17),P$8+P$21*(t-DWAVE*$I28-P$17),P$9+P$25*(t-DWAVE*$I28-P$17-Q$17)))</f>
        <v>0.888670615562134</v>
      </c>
      <c r="Q28" s="5">
        <f>IF(t-DWAVE*$I28&lt;P$17,Q$7,IF(AND(t-DWAVE*$I28&gt;P$17,t-DWAVE*$I28&lt;P$17+Q$17),Q$8+Q$21*(t-DWAVE*$I28-P$17),Q$9+Q$25*(t-DWAVE*$I28-(P$17+Q$17))))</f>
        <v>3.9001637049950655</v>
      </c>
      <c r="R28" s="5">
        <f>IF(t-DWAVE*$I28&lt;R$17,XARXI+caera*(t-DWAVE*$I28),IF(AND(t-DWAVE*$I28&gt;R$17,t&lt;R$17+S$17),R$8+R$21*(t-DWAVE*$I28-R$17),R$9+R$25*(t-DWAVE*$I28-R$17-S$17)))</f>
        <v>0.75206195957400013</v>
      </c>
      <c r="S28" s="5">
        <f>IF(t-DWAVE*$I28&lt;R$17,S$7,IF(AND(t-DWAVE*$I28&gt;R$17,t-DWAVE*$I28&lt;R$17+S$17),S$8+S$21*(t-DWAVE*$I28-R$17),S$9+S$25*(t-DWAVE*$I28-(R$17+S$17))))</f>
        <v>3.2506397293619478</v>
      </c>
      <c r="T28" s="5">
        <f>IF(t-DWAVE*$I28&lt;T$17,XARXI+caera*(t-DWAVE*$I28),IF(AND(t-DWAVE*$I28&gt;T$17,t&lt;T$17+U$17),T$8+T$21*(t-DWAVE*$I28-T$17),T$9+T$25*(t-DWAVE*$I28-T$17-U$17)))</f>
        <v>0.64578619952935767</v>
      </c>
      <c r="U28" s="5">
        <f>IF(t-DWAVE*$I28&lt;T$17,U$7,IF(AND(t-DWAVE*$I28&gt;T$17,t-DWAVE*$I28&lt;T$17+U$17),U$8+U$21*(t-DWAVE*$I28-T$17),U$9+U$25*(t-DWAVE*$I28-(T$17+U$17))))</f>
        <v>2.6015708842971739</v>
      </c>
      <c r="V28" s="5">
        <f>IF(t-DWAVE*$I28&lt;V$17,XARXI+caera*(t-DWAVE*$I28),IF(AND(t-DWAVE*$I28&gt;V$17,t&lt;V$17+W$17),V$8+V$21*(t-DWAVE*$I28-V$17),V$9+V$25*(t-DWAVE*$I28-V$17-W$17)))</f>
        <v>0.56600849499773709</v>
      </c>
      <c r="W28" s="5">
        <f>IF(t-DWAVE*$I28&lt;V$17,W$7,IF(AND(t-DWAVE*$I28&gt;V$17,t-DWAVE*$I28&lt;V$17+W$17),W$8+W$21*(t-DWAVE*$I28-V$17),W$9+W$25*(t-DWAVE*$I28-(V$17+W$17))))</f>
        <v>1.9520283724134149</v>
      </c>
      <c r="X28" s="5">
        <f>IF(t-DWAVE*$I28&lt;X$17,XARXI+caera*(t-DWAVE*$I28),IF(AND(t-DWAVE*$I28&gt;X$17,t&lt;X$17+Y$17),X$8+X$21*(t-DWAVE*$I28-X$17),X$9+X$25*(t-DWAVE*$I28-X$17-Y$17)))</f>
        <v>0.51039696674381219</v>
      </c>
      <c r="Y28" s="5">
        <f>IF(t-DWAVE*$I28&lt;X$17,Y$7,IF(AND(t-DWAVE*$I28&gt;X$17,t-DWAVE*$I28&lt;X$17+Y$17),Y$8+Y$21*(t-DWAVE*$I28-X$17),Y$9+Y$25*(t-DWAVE*$I28-(X$17+Y$17))))</f>
        <v>1.3018190455775642</v>
      </c>
      <c r="Z28" s="5">
        <f>IF(t-DWAVE*$I28&lt;Z$17,XARXI+caera*(t-DWAVE*$I28),IF(AND(t-DWAVE*$I28&gt;Z$17,t&lt;Z$17+AA$17),Z$8+Z$21*(t-DWAVE*$I28-Z$17),Z$9+Z$25*(t-DWAVE*$I28-Z$17-AA$17)))</f>
        <v>0.47753841524189866</v>
      </c>
      <c r="AA28" s="5">
        <f>IF(t-DWAVE*$I28&lt;Z$17,AA$7,IF(AND(t-DWAVE*$I28&gt;Z$17,t-DWAVE*$I28&lt;Z$17+AA$17),AA$8+AA$21*(t-DWAVE*$I28-Z$17),AA$9+AA$25*(t-DWAVE*$I28-(Z$17+AA$17))))</f>
        <v>0.65105960775440519</v>
      </c>
      <c r="AM28">
        <f t="shared" si="5"/>
        <v>20</v>
      </c>
      <c r="AN28">
        <f t="shared" si="2"/>
        <v>-8</v>
      </c>
      <c r="AO28">
        <f t="shared" si="3"/>
        <v>6</v>
      </c>
      <c r="AP28">
        <f t="shared" si="4"/>
        <v>-6</v>
      </c>
    </row>
    <row r="29" spans="2:42" x14ac:dyDescent="0.25">
      <c r="I29">
        <v>0</v>
      </c>
      <c r="J29" s="5">
        <f>IF(t-DWAVE*$I28&lt;J$18,XARXI+caera*(t-DWAVE*$I28),IF(AND(t-DWAVE*$I28&gt;J$18,t-DWAVE*$I28&lt;J$18+K$18),J$13+J$22*(t-DWAVE*$I28-J$18),J$14+J$26*(t-DWAVE*$I28-J$18-K$18)))</f>
        <v>1.6007432883036676</v>
      </c>
      <c r="K29" s="5">
        <f>IF(t-DWAVE*$I28&lt;J$18,K$12,IF(AND(t-DWAVE*$I28&gt;J$18,t-DWAVE*$I28&lt;J$18+K$18),K$13+K$22*(t-DWAVE*$I28-J$18),K$14+K$26*(t-DWAVE*$I28-(J$18+K$18))))</f>
        <v>-5.9255574662277493</v>
      </c>
      <c r="L29" s="5">
        <f>IF(t-DWAVE*$I28&lt;L$18,XARXI+caera*(t-DWAVE*$I28),IF(AND(t-DWAVE*$I28&gt;L$18,t-DWAVE*$I28&lt;L$18+M$18),L$13+L$22*(t-DWAVE*$I28-L$18),L$14+L$26*(t-DWAVE*$I28-L$18-M$18)))</f>
        <v>1.2868361926202523</v>
      </c>
      <c r="M29" s="5">
        <f>IF(t-DWAVE*$I28&lt;L$18,M$12,IF(AND(t-DWAVE*$I28&gt;L$18,t-DWAVE*$I28&lt;L$18+M$18),M$13+M$22*(t-DWAVE*$I28-L$18),M$14+M$26*(t-DWAVE*$I28-(L$18+M$18))))</f>
        <v>-5.217551743172999</v>
      </c>
      <c r="N29" s="5">
        <f>IF(t-DWAVE*$I28&lt;N$18,XARXI+caera*(t-DWAVE*$I28),IF(AND(t-DWAVE*$I28&gt;N$18,t-DWAVE*$I28&lt;N$18+O$18),N$13+N$22*(t-DWAVE*$I28-N$18),N$14+N$26*(t-DWAVE*$I28-N$18-O$18)))</f>
        <v>1.0623469025914307</v>
      </c>
      <c r="O29" s="5">
        <f>IF(t-DWAVE*$I28&lt;N$18,O$12,IF(AND(t-DWAVE*$I28&gt;N$18,t-DWAVE*$I28&lt;N$18+O$18),O$13+O$22*(t-DWAVE*$I28-N$18),O$14+O$26*(t-DWAVE*$I28-(N$18+O$18))))</f>
        <v>-4.5529662131014437</v>
      </c>
      <c r="P29" s="5">
        <f>IF(t-DWAVE*$I28&lt;P$18,XARXI+caera*(t-DWAVE*$I28),IF(AND(t-DWAVE*$I28&gt;P$18,t-DWAVE*$I28&lt;P$18+Q$18),P$13+P$22*(t-DWAVE*$I28-P$18),P$14+P$26*(t-DWAVE*$I28-P$18-Q$18)))</f>
        <v>0.888670615562134</v>
      </c>
      <c r="Q29" s="5">
        <f>IF(t-DWAVE*$I28&lt;P$18,Q$12,IF(AND(t-DWAVE*$I28&gt;P$18,t-DWAVE*$I28&lt;P$18+Q$18),Q$13+Q$22*(t-DWAVE*$I28-P$18),Q$14+Q$26*(t-DWAVE*$I28-(P$18+Q$18))))</f>
        <v>-3.9001637049950655</v>
      </c>
      <c r="R29" s="5">
        <f>IF(t-DWAVE*$I28&lt;R$18,XARXI+caera*(t-DWAVE*$I28),IF(AND(t-DWAVE*$I28&gt;R$18,t-DWAVE*$I28&lt;R$18+S$18),R$13+R$22*(t-DWAVE*$I28-R$18),R$14+R$26*(t-DWAVE*$I28-R$18-S$18)))</f>
        <v>0.75206195957400013</v>
      </c>
      <c r="S29" s="5">
        <f>IF(t-DWAVE*$I28&lt;R$18,S$12,IF(AND(t-DWAVE*$I28&gt;R$18,t-DWAVE*$I28&lt;R$18+S$18),S$13+S$22*(t-DWAVE*$I28-R$18),S$14+S$26*(t-DWAVE*$I28-(R$18+S$18))))</f>
        <v>-3.2506397293619478</v>
      </c>
      <c r="T29" s="5">
        <f>IF(t-DWAVE*$I28&lt;T$18,XARXI+caera*(t-DWAVE*$I28),IF(AND(t-DWAVE*$I28&gt;T$18,t-DWAVE*$I28&lt;T$18+U$18),T$13+T$22*(t-DWAVE*$I28-T$18),T$14+T$26*(t-DWAVE*$I28-T$18-U$18)))</f>
        <v>0.64578619952935767</v>
      </c>
      <c r="U29" s="5">
        <f>IF(t-DWAVE*$I28&lt;T$18,U$12,IF(AND(t-DWAVE*$I28&gt;T$18,t-DWAVE*$I28&lt;T$18+U$18),U$13+U$22*(t-DWAVE*$I28-T$18),U$14+U$26*(t-DWAVE*$I28-(T$18+U$18))))</f>
        <v>-2.6015708842971739</v>
      </c>
      <c r="V29" s="5">
        <f>IF(t-DWAVE*$I28&lt;V$18,XARXI+caera*(t-DWAVE*$I28),IF(AND(t-DWAVE*$I28&gt;V$18,t-DWAVE*$I28&lt;V$18+W$18),V$13+V$22*(t-DWAVE*$I28-V$18),V$14+V$26*(t-DWAVE*$I28-V$18-W$18)))</f>
        <v>0.56600849499773709</v>
      </c>
      <c r="W29" s="5">
        <f>IF(t-DWAVE*$I28&lt;V$18,W$12,IF(AND(t-DWAVE*$I28&gt;V$18,t-DWAVE*$I28&lt;V$18+W$18),W$13+W$22*(t-DWAVE*$I28-V$18),W$14+W$26*(t-DWAVE*$I28-(V$18+W$18))))</f>
        <v>-1.9520283724134149</v>
      </c>
      <c r="X29" s="5">
        <f>IF(t-DWAVE*$I28&lt;X$18,XARXI+caera*(t-DWAVE*$I28),IF(AND(t-DWAVE*$I28&gt;X$18,t-DWAVE*$I28&lt;X$18+Y$18),X$13+X$22*(t-DWAVE*$I28-X$18),X$14+X$26*(t-DWAVE*$I28-X$18-Y$18)))</f>
        <v>0.51039696674381219</v>
      </c>
      <c r="Y29" s="5">
        <f>IF(t-DWAVE*$I28&lt;X$18,Y$12,IF(AND(t-DWAVE*$I28&gt;X$18,t-DWAVE*$I28&lt;X$18+Y$18),Y$13+Y$22*(t-DWAVE*$I28-X$18),Y$14+Y$26*(t-DWAVE*$I28-(X$18+Y$18))))</f>
        <v>-1.3018190455775642</v>
      </c>
      <c r="Z29" s="5">
        <f>IF(t-DWAVE*$I28&lt;Z$18,XARXI+caera*(t-DWAVE*$I28),IF(AND(t-DWAVE*$I28&gt;Z$18,t-DWAVE*$I28&lt;Z$18+AA$18),Z$13+Z$22*(t-DWAVE*$I28-Z$18),Z$14+Z$26*(t-DWAVE*$I28-Z$18-AA$18)))</f>
        <v>0.47753841524189866</v>
      </c>
      <c r="AA29" s="5">
        <f>IF(t-DWAVE*$I28&lt;Z$18,AA$12,IF(AND(t-DWAVE*$I28&gt;Z$18,t-DWAVE*$I28&lt;Z$18+AA$18),AA$13+AA$22*(t-DWAVE*$I28-Z$18),AA$14+AA$26*(t-DWAVE*$I28-(Z$18+AA$18))))</f>
        <v>-0.65105960775440519</v>
      </c>
      <c r="AM29">
        <f t="shared" si="5"/>
        <v>21</v>
      </c>
      <c r="AN29">
        <f t="shared" si="2"/>
        <v>-7.9</v>
      </c>
      <c r="AO29">
        <f t="shared" si="3"/>
        <v>6.1310684223877319</v>
      </c>
      <c r="AP29">
        <f t="shared" si="4"/>
        <v>-6.1310684223877319</v>
      </c>
    </row>
    <row r="30" spans="2:42" x14ac:dyDescent="0.25">
      <c r="I30">
        <v>1</v>
      </c>
      <c r="J30" s="5">
        <f>IF(t-DWAVE*$I30&lt;J$17,XARXI+caera*(t-DWAVE*$I30),IF(AND(t-DWAVE*$I30&gt;J$17,(t-DWAVE*$I30)&lt;J$17+K$17),J$8+J$21*(t-DWAVE*$I30-J$17),J$9+J$25*(t-DWAVE*$I30-J$17-K$17)))</f>
        <v>-1.3616297633071786</v>
      </c>
      <c r="K30" s="5">
        <f>IF(t-DWAVE*$I30&lt;J$17,K$7,IF(AND(t-DWAVE*$I30&gt;J$17,t-DWAVE*$I30&lt;J$17+K$17),K$8+K$21*(t-DWAVE*$I30-J$17),K$9+K$25*(t-DWAVE*$I30-(J$17+K$17))))</f>
        <v>7.4537776775196152</v>
      </c>
      <c r="L30" s="5">
        <f>IF(t-DWAVE*$I30&lt;L$17,XARXI+caera*(t-DWAVE*$I30),IF(AND(t-DWAVE*$I30&gt;L$17,(t-DWAVE*$I30)&lt;L$17+M$17),L$8+L$21*(t-DWAVE*$I30-L$17),L$9+L$25*(t-DWAVE*$I30-L$17-M$17)))</f>
        <v>-1.8271963683285728</v>
      </c>
      <c r="M30" s="5">
        <f>IF(t-DWAVE*$I30&lt;L$17,M$7,IF(AND(t-DWAVE*$I30&gt;L$17,t-DWAVE*$I30&lt;L$17+M$17),M$8+M$21*(t-DWAVE*$I30-L$17),M$9+M$25*(t-DWAVE*$I30-(L$17+M$17))))</f>
        <v>6.406632194808469</v>
      </c>
      <c r="N30" s="5">
        <f>IF(t-DWAVE*$I30&lt;N$17,XARXI+caera*(t-DWAVE*$I30),IF(AND(t-DWAVE*$I30&gt;N$17,(t-DWAVE*$I30)&lt;N$17+O$17),N$8+N$21*(t-DWAVE*$I30-N$17),N$9+N$25*(t-DWAVE*$I30-N$17-O$17)))</f>
        <v>-2.1319143031555923</v>
      </c>
      <c r="O30" s="5">
        <f>IF(t-DWAVE*$I30&lt;N$17,O$7,IF(AND(t-DWAVE*$I30&gt;N$17,t-DWAVE*$I30&lt;N$17+O$17),O$8+O$21*(t-DWAVE*$I30-N$17),O$9+O$25*(t-DWAVE*$I30-(N$17+O$17))))</f>
        <v>5.5057549937714718</v>
      </c>
      <c r="P30" s="5">
        <f>IF(t-DWAVE*$I30&lt;P$17,XARXI+caera*(t-DWAVE*$I30),IF(AND(t-DWAVE*$I30&gt;P$17,(t-DWAVE*$I30)&lt;P$17+Q$17),P$8+P$21*(t-DWAVE*$I30-P$17),P$9+P$25*(t-DWAVE*$I30-P$17-Q$17)))</f>
        <v>-2.3553697550809796</v>
      </c>
      <c r="Q30" s="5">
        <f>IF(t-DWAVE*$I30&lt;P$17,Q$7,IF(AND(t-DWAVE*$I30&gt;P$17,t-DWAVE*$I30&lt;P$17+Q$17),Q$8+Q$21*(t-DWAVE*$I30-P$17),Q$9+Q$25*(t-DWAVE*$I30-(P$17+Q$17))))</f>
        <v>4.6665273163107344</v>
      </c>
      <c r="R30" s="5">
        <f>IF(t-DWAVE*$I30&lt;R$17,XARXI+caera*(t-DWAVE*$I30),IF(AND(t-DWAVE*$I30&gt;R$17,(t-DWAVE*$I30)&lt;R$17+S$17),R$8+R$21*(t-DWAVE*$I30-R$17),R$9+R$25*(t-DWAVE*$I30-R$17-S$17)))</f>
        <v>-2.5251488657406416</v>
      </c>
      <c r="S30" s="5">
        <f>IF(t-DWAVE*$I30&lt;R$17,S$7,IF(AND(t-DWAVE*$I30&gt;R$17,t-DWAVE*$I30&lt;R$17+S$17),S$8+S$21*(t-DWAVE*$I30-R$17),S$9+S$25*(t-DWAVE*$I30-(R$17+S$17))))</f>
        <v>3.8597376833493438</v>
      </c>
      <c r="T30" s="5">
        <f>IF(t-DWAVE*$I30&lt;T$17,XARXI+caera*(t-DWAVE*$I30),IF(AND(t-DWAVE*$I30&gt;T$17,(t-DWAVE*$I30)&lt;T$17+U$17),T$8+T$21*(t-DWAVE*$I30-T$17),T$9+T$25*(t-DWAVE*$I30-T$17-U$17)))</f>
        <v>-2.6541928360354214</v>
      </c>
      <c r="U30" s="5">
        <f>IF(t-DWAVE*$I30&lt;T$17,U$7,IF(AND(t-DWAVE*$I30&gt;T$17,t-DWAVE*$I30&lt;T$17+U$17),U$8+U$21*(t-DWAVE*$I30-T$17),U$9+U$25*(t-DWAVE*$I30-(T$17+U$17))))</f>
        <v>3.0719425202873323</v>
      </c>
      <c r="V30" s="5">
        <f>IF(t-DWAVE*$I30&lt;V$17,XARXI+caera*(t-DWAVE*$I30),IF(AND(t-DWAVE*$I30&gt;V$17,(t-DWAVE*$I30)&lt;V$17+W$17),V$8+V$21*(t-DWAVE*$I30-V$17),V$9+V$25*(t-DWAVE*$I30-V$17-W$17)))</f>
        <v>-2.749543890481708</v>
      </c>
      <c r="W30" s="5">
        <f>IF(t-DWAVE*$I30&lt;V$17,W$7,IF(AND(t-DWAVE*$I30&gt;V$17,t-DWAVE*$I30&lt;V$17+W$17),W$8+W$21*(t-DWAVE*$I30-V$17),W$9+W$25*(t-DWAVE*$I30-(V$17+W$17))))</f>
        <v>2.2958648019153891</v>
      </c>
      <c r="X30" s="5">
        <f>IF(t-DWAVE*$I30&lt;X$17,XARXI+caera*(t-DWAVE*$I30),IF(AND(t-DWAVE*$I30&gt;X$17,(t-DWAVE*$I30)&lt;X$17+Y$17),X$8+X$21*(t-DWAVE*$I30-X$17),X$9+X$25*(t-DWAVE*$I30-X$17-Y$17)))</f>
        <v>-2.8153170698842978</v>
      </c>
      <c r="Y30" s="5">
        <f>IF(t-DWAVE*$I30&lt;X$17,Y$7,IF(AND(t-DWAVE*$I30&gt;X$17,t-DWAVE*$I30&lt;X$17+Y$17),Y$8+Y$21*(t-DWAVE*$I30-X$17),Y$9+Y$25*(t-DWAVE*$I30-(X$17+Y$17))))</f>
        <v>1.5270683689635995</v>
      </c>
      <c r="Z30" s="5">
        <f>IF(t-DWAVE*$I30&lt;Z$17,XARXI+caera*(t-DWAVE*$I30),IF(AND(t-DWAVE*$I30&gt;Z$17,(t-DWAVE*$I30)&lt;Z$17+AA$17),Z$8+Z$21*(t-DWAVE*$I30-Z$17),Z$9+Z$25*(t-DWAVE*$I30-Z$17-AA$17)))</f>
        <v>-2.8539301125778849</v>
      </c>
      <c r="AA30" s="5">
        <f>IF(t-DWAVE*$I30&lt;Z$17,AA$7,IF(AND(t-DWAVE*$I30&gt;Z$17,t-DWAVE*$I30&lt;Z$17+AA$17),AA$8+AA$21*(t-DWAVE*$I30-Z$17),AA$9+AA$25*(t-DWAVE*$I30-(Z$17+AA$17))))</f>
        <v>0.76254305611061779</v>
      </c>
      <c r="AM30">
        <f t="shared" si="5"/>
        <v>22</v>
      </c>
      <c r="AN30">
        <f t="shared" si="2"/>
        <v>-7.8</v>
      </c>
      <c r="AO30">
        <f t="shared" si="3"/>
        <v>6.2577951388648065</v>
      </c>
      <c r="AP30">
        <f t="shared" si="4"/>
        <v>-6.2577951388648065</v>
      </c>
    </row>
    <row r="31" spans="2:42" x14ac:dyDescent="0.25">
      <c r="I31">
        <v>1</v>
      </c>
      <c r="J31" s="5">
        <f>IF(t-DWAVE*$I30&lt;J$18,XARXI+caera*(t-DWAVE*$I30),IF(AND(t-DWAVE*$I30&gt;J$18,t-DWAVE*$I30&lt;J$18+K$18),J$13+J$22*(t-DWAVE*$I30-J$18),J$14+J$26*(t-DWAVE*$I30-J$18-K$18)))</f>
        <v>-1.3616297633071786</v>
      </c>
      <c r="K31" s="5">
        <f>IF(t-DWAVE*$I30&lt;J$18,K$12,IF(AND(t-DWAVE*$I30&gt;J$18,t-DWAVE*$I30&lt;J$18+K$18),K$13+K$22*(t-DWAVE*$I30-J$18),K$14+K$26*(t-DWAVE*$I30-(J$18+K$18))))</f>
        <v>-7.4537776775196152</v>
      </c>
      <c r="L31" s="5">
        <f>IF(t-DWAVE*$I30&lt;L$18,XARXI+caera*(t-DWAVE*$I30),IF(AND(t-DWAVE*$I30&gt;L$18,t-DWAVE*$I30&lt;L$18+M$18),L$13+L$22*(t-DWAVE*$I30-L$18),L$14+L$26*(t-DWAVE*$I30-L$18-M$18)))</f>
        <v>-1.8271963683285728</v>
      </c>
      <c r="M31" s="5">
        <f>IF(t-DWAVE*$I30&lt;L$18,M$12,IF(AND(t-DWAVE*$I30&gt;L$18,t-DWAVE*$I30&lt;L$18+M$18),M$13+M$22*(t-DWAVE*$I30-L$18),M$14+M$26*(t-DWAVE*$I30-(L$18+M$18))))</f>
        <v>-6.406632194808469</v>
      </c>
      <c r="N31" s="5">
        <f>IF(t-DWAVE*$I30&lt;N$18,XARXI+caera*(t-DWAVE*$I30),IF(AND(t-DWAVE*$I30&gt;N$18,t-DWAVE*$I30&lt;N$18+O$18),N$13+N$22*(t-DWAVE*$I30-N$18),N$14+N$26*(t-DWAVE*$I30-N$18-O$18)))</f>
        <v>-2.1319143031555923</v>
      </c>
      <c r="O31" s="5">
        <f>IF(t-DWAVE*$I30&lt;N$18,O$12,IF(AND(t-DWAVE*$I30&gt;N$18,t-DWAVE*$I30&lt;N$18+O$18),O$13+O$22*(t-DWAVE*$I30-N$18),O$14+O$26*(t-DWAVE*$I30-(N$18+O$18))))</f>
        <v>-5.5057549937714718</v>
      </c>
      <c r="P31" s="5">
        <f>IF(t-DWAVE*$I30&lt;P$18,XARXI+caera*(t-DWAVE*$I30),IF(AND(t-DWAVE*$I30&gt;P$18,t-DWAVE*$I30&lt;P$18+Q$18),P$13+P$22*(t-DWAVE*$I30-P$18),P$14+P$26*(t-DWAVE*$I30-P$18-Q$18)))</f>
        <v>-2.3553697550809796</v>
      </c>
      <c r="Q31" s="5">
        <f>IF(t-DWAVE*$I30&lt;P$18,Q$12,IF(AND(t-DWAVE*$I30&gt;P$18,t-DWAVE*$I30&lt;P$18+Q$18),Q$13+Q$22*(t-DWAVE*$I30-P$18),Q$14+Q$26*(t-DWAVE*$I30-(P$18+Q$18))))</f>
        <v>-4.6665273163107344</v>
      </c>
      <c r="R31" s="5">
        <f>IF(t-DWAVE*$I30&lt;R$18,XARXI+caera*(t-DWAVE*$I30),IF(AND(t-DWAVE*$I30&gt;R$18,t-DWAVE*$I30&lt;R$18+S$18),R$13+R$22*(t-DWAVE*$I30-R$18),R$14+R$26*(t-DWAVE*$I30-R$18-S$18)))</f>
        <v>-2.5251488657406416</v>
      </c>
      <c r="S31" s="5">
        <f>IF(t-DWAVE*$I30&lt;R$18,S$12,IF(AND(t-DWAVE*$I30&gt;R$18,t-DWAVE*$I30&lt;R$18+S$18),S$13+S$22*(t-DWAVE*$I30-R$18),S$14+S$26*(t-DWAVE*$I30-(R$18+S$18))))</f>
        <v>-3.8597376833493438</v>
      </c>
      <c r="T31" s="5">
        <f>IF(t-DWAVE*$I30&lt;T$18,XARXI+caera*(t-DWAVE*$I30),IF(AND(t-DWAVE*$I30&gt;T$18,t-DWAVE*$I30&lt;T$18+U$18),T$13+T$22*(t-DWAVE*$I30-T$18),T$14+T$26*(t-DWAVE*$I30-T$18-U$18)))</f>
        <v>-2.6541928360354214</v>
      </c>
      <c r="U31" s="5">
        <f>IF(t-DWAVE*$I30&lt;T$18,U$12,IF(AND(t-DWAVE*$I30&gt;T$18,t-DWAVE*$I30&lt;T$18+U$18),U$13+U$22*(t-DWAVE*$I30-T$18),U$14+U$26*(t-DWAVE*$I30-(T$18+U$18))))</f>
        <v>-3.0719425202873323</v>
      </c>
      <c r="V31" s="5">
        <f>IF(t-DWAVE*$I30&lt;V$18,XARXI+caera*(t-DWAVE*$I30),IF(AND(t-DWAVE*$I30&gt;V$18,t-DWAVE*$I30&lt;V$18+W$18),V$13+V$22*(t-DWAVE*$I30-V$18),V$14+V$26*(t-DWAVE*$I30-V$18-W$18)))</f>
        <v>-2.749543890481708</v>
      </c>
      <c r="W31" s="5">
        <f>IF(t-DWAVE*$I30&lt;V$18,W$12,IF(AND(t-DWAVE*$I30&gt;V$18,t-DWAVE*$I30&lt;V$18+W$18),W$13+W$22*(t-DWAVE*$I30-V$18),W$14+W$26*(t-DWAVE*$I30-(V$18+W$18))))</f>
        <v>-2.2958648019153891</v>
      </c>
      <c r="X31" s="5">
        <f>IF(t-DWAVE*$I30&lt;X$18,XARXI+caera*(t-DWAVE*$I30),IF(AND(t-DWAVE*$I30&gt;X$18,t-DWAVE*$I30&lt;X$18+Y$18),X$13+X$22*(t-DWAVE*$I30-X$18),X$14+X$26*(t-DWAVE*$I30-X$18-Y$18)))</f>
        <v>-2.8153170698842978</v>
      </c>
      <c r="Y31" s="5">
        <f>IF(t-DWAVE*$I30&lt;X$18,Y$12,IF(AND(t-DWAVE*$I30&gt;X$18,t-DWAVE*$I30&lt;X$18+Y$18),Y$13+Y$22*(t-DWAVE*$I30-X$18),Y$14+Y$26*(t-DWAVE*$I30-(X$18+Y$18))))</f>
        <v>-1.5270683689635995</v>
      </c>
      <c r="Z31" s="5">
        <f>IF(t-DWAVE*$I30&lt;Z$18,XARXI+caera*(t-DWAVE*$I30),IF(AND(t-DWAVE*$I30&gt;Z$18,t-DWAVE*$I30&lt;Z$18+AA$18),Z$13+Z$22*(t-DWAVE*$I30-Z$18),Z$14+Z$26*(t-DWAVE*$I30-Z$18-AA$18)))</f>
        <v>-2.8539301125778849</v>
      </c>
      <c r="AA31" s="5">
        <f>IF(t-DWAVE*$I30&lt;Z$18,AA$12,IF(AND(t-DWAVE*$I30&gt;Z$18,t-DWAVE*$I30&lt;Z$18+AA$18),AA$13+AA$22*(t-DWAVE*$I30-Z$18),AA$14+AA$26*(t-DWAVE*$I30-(Z$18+AA$18))))</f>
        <v>-0.76254305611061779</v>
      </c>
      <c r="AM31">
        <f t="shared" si="5"/>
        <v>23</v>
      </c>
      <c r="AN31">
        <f t="shared" si="2"/>
        <v>-7.6999999999999993</v>
      </c>
      <c r="AO31">
        <f t="shared" si="3"/>
        <v>6.3804388563797092</v>
      </c>
      <c r="AP31">
        <f t="shared" si="4"/>
        <v>-6.3804388563797092</v>
      </c>
    </row>
    <row r="32" spans="2:42" x14ac:dyDescent="0.25">
      <c r="G32" t="s">
        <v>6</v>
      </c>
      <c r="H32" t="s">
        <v>7</v>
      </c>
      <c r="I32">
        <f>I30+1</f>
        <v>2</v>
      </c>
      <c r="J32" s="5">
        <f>IF(t-DWAVE*$I32&lt;J$17,XARXI+caera*(t-DWAVE*$I32),IF(AND(t-DWAVE*$I32&gt;J$17,(t-DWAVE*$I32)&lt;J$17+K$17),J$8+J$21*(t-DWAVE*$I32-J$17),J$9+J$25*(t-DWAVE*$I32-J$17-K$17)))</f>
        <v>-4.3240028149180247</v>
      </c>
      <c r="K32" s="5">
        <f>IF(t-DWAVE*$I32&lt;J$17,K$7,IF(AND(t-DWAVE*$I32&gt;J$17,t-DWAVE*$I32&lt;J$17+K$17),K$8+K$21*(t-DWAVE*$I32-J$17),K$9+K$25*(t-DWAVE*$I32-(J$17+K$17))))</f>
        <v>8.9819978888114793</v>
      </c>
      <c r="L32" s="5">
        <f>IF(t-DWAVE*$I32&lt;L$17,XARXI+caera*(t-DWAVE*$I32),IF(AND(t-DWAVE*$I32&gt;L$17,(t-DWAVE*$I32)&lt;L$17+M$17),L$8+L$21*(t-DWAVE*$I32-L$17),L$9+L$25*(t-DWAVE*$I32-L$17-M$17)))</f>
        <v>-4.9412289292773979</v>
      </c>
      <c r="M32" s="5">
        <f>IF(t-DWAVE*$I32&lt;L$17,M$7,IF(AND(t-DWAVE*$I32&gt;L$17,t-DWAVE*$I32&lt;L$17+M$17),M$8+M$21*(t-DWAVE*$I32-L$17),M$9+M$25*(t-DWAVE*$I32-(L$17+M$17))))</f>
        <v>7.5957126464439391</v>
      </c>
      <c r="N32" s="5">
        <f>IF(t-DWAVE*$I32&lt;N$17,XARXI+caera*(t-DWAVE*$I32),IF(AND(t-DWAVE*$I32&gt;N$17,(t-DWAVE*$I32)&lt;N$17+O$17),N$8+N$21*(t-DWAVE*$I32-N$17),N$9+N$25*(t-DWAVE*$I32-N$17-O$17)))</f>
        <v>-5.3261755089026162</v>
      </c>
      <c r="O32" s="5">
        <f>IF(t-DWAVE*$I32&lt;N$17,O$7,IF(AND(t-DWAVE*$I32&gt;N$17,t-DWAVE*$I32&lt;N$17+O$17),O$8+O$21*(t-DWAVE*$I32-N$17),O$9+O$25*(t-DWAVE*$I32-(N$17+O$17))))</f>
        <v>6.4585437744415</v>
      </c>
      <c r="P32" s="5">
        <f>IF(t-DWAVE*$I32&lt;P$17,XARXI+caera*(t-DWAVE*$I32),IF(AND(t-DWAVE*$I32&gt;P$17,(t-DWAVE*$I32)&lt;P$17+Q$17),P$8+P$21*(t-DWAVE*$I32-P$17),P$9+P$25*(t-DWAVE*$I32-P$17-Q$17)))</f>
        <v>-5.5994101257240931</v>
      </c>
      <c r="Q32" s="5">
        <f>IF(t-DWAVE*$I32&lt;P$17,Q$7,IF(AND(t-DWAVE*$I32&gt;P$17,t-DWAVE*$I32&lt;P$17+Q$17),Q$8+Q$21*(t-DWAVE*$I32-P$17),Q$9+Q$25*(t-DWAVE*$I32-(P$17+Q$17))))</f>
        <v>5.4328909276264046</v>
      </c>
      <c r="R32" s="5">
        <f>IF(t-DWAVE*$I32&lt;R$17,XARXI+caera*(t-DWAVE*$I32),IF(AND(t-DWAVE*$I32&gt;R$17,(t-DWAVE*$I32)&lt;R$17+S$17),R$8+R$21*(t-DWAVE*$I32-R$17),R$9+R$25*(t-DWAVE*$I32-R$17-S$17)))</f>
        <v>-5.8023596910552833</v>
      </c>
      <c r="S32" s="5">
        <f>IF(t-DWAVE*$I32&lt;R$17,S$7,IF(AND(t-DWAVE*$I32&gt;R$17,t-DWAVE*$I32&lt;R$17+S$17),S$8+S$21*(t-DWAVE*$I32-R$17),S$9+S$25*(t-DWAVE*$I32-(R$17+S$17))))</f>
        <v>4.4688356373367402</v>
      </c>
      <c r="T32" s="5">
        <f>IF(t-DWAVE*$I32&lt;T$17,XARXI+caera*(t-DWAVE*$I32),IF(AND(t-DWAVE*$I32&gt;T$17,(t-DWAVE*$I32)&lt;T$17+U$17),T$8+T$21*(t-DWAVE*$I32-T$17),T$9+T$25*(t-DWAVE*$I32-T$17-U$17)))</f>
        <v>-5.9541718716002006</v>
      </c>
      <c r="U32" s="5">
        <f>IF(t-DWAVE*$I32&lt;T$17,U$7,IF(AND(t-DWAVE*$I32&gt;T$17,t-DWAVE*$I32&lt;T$17+U$17),U$8+U$21*(t-DWAVE*$I32-T$17),U$9+U$25*(t-DWAVE*$I32-(T$17+U$17))))</f>
        <v>3.5423141562774902</v>
      </c>
      <c r="V32" s="5">
        <f>IF(t-DWAVE*$I32&lt;V$17,XARXI+caera*(t-DWAVE*$I32),IF(AND(t-DWAVE*$I32&gt;V$17,(t-DWAVE*$I32)&lt;V$17+W$17),V$8+V$21*(t-DWAVE*$I32-V$17),V$9+V$25*(t-DWAVE*$I32-V$17-W$17)))</f>
        <v>-6.0650962759611531</v>
      </c>
      <c r="W32" s="5">
        <f>IF(t-DWAVE*$I32&lt;V$17,W$7,IF(AND(t-DWAVE*$I32&gt;V$17,t-DWAVE*$I32&lt;V$17+W$17),W$8+W$21*(t-DWAVE*$I32-V$17),W$9+W$25*(t-DWAVE*$I32-(V$17+W$17))))</f>
        <v>2.6397012314173631</v>
      </c>
      <c r="X32" s="5">
        <f>IF(t-DWAVE*$I32&lt;X$17,XARXI+caera*(t-DWAVE*$I32),IF(AND(t-DWAVE*$I32&gt;X$17,(t-DWAVE*$I32)&lt;X$17+Y$17),X$8+X$21*(t-DWAVE*$I32-X$17),X$9+X$25*(t-DWAVE*$I32-X$17-Y$17)))</f>
        <v>-6.1410311065124086</v>
      </c>
      <c r="Y32" s="5">
        <f>IF(t-DWAVE*$I32&lt;X$17,Y$7,IF(AND(t-DWAVE*$I32&gt;X$17,t-DWAVE*$I32&lt;X$17+Y$17),Y$8+Y$21*(t-DWAVE*$I32-X$17),Y$9+Y$25*(t-DWAVE*$I32-(X$17+Y$17))))</f>
        <v>1.7523176923496346</v>
      </c>
      <c r="Z32" s="5">
        <f>IF(t-DWAVE*$I32&lt;Z$17,XARXI+caera*(t-DWAVE*$I32),IF(AND(t-DWAVE*$I32&gt;Z$17,(t-DWAVE*$I32)&lt;Z$17+AA$17),Z$8+Z$21*(t-DWAVE*$I32-Z$17),Z$9+Z$25*(t-DWAVE*$I32-Z$17-AA$17)))</f>
        <v>-6.1853986403976684</v>
      </c>
      <c r="AA32" s="5">
        <f>IF(t-DWAVE*$I32&lt;Z$17,AA$7,IF(AND(t-DWAVE*$I32&gt;Z$17,t-DWAVE*$I32&lt;Z$17+AA$17),AA$8+AA$21*(t-DWAVE*$I32-Z$17),AA$9+AA$25*(t-DWAVE*$I32-(Z$17+AA$17))))</f>
        <v>0.87402650446683039</v>
      </c>
      <c r="AM32">
        <f t="shared" si="5"/>
        <v>24</v>
      </c>
      <c r="AN32">
        <f t="shared" si="2"/>
        <v>-7.6</v>
      </c>
      <c r="AO32">
        <f t="shared" si="3"/>
        <v>6.4992307237087683</v>
      </c>
      <c r="AP32">
        <f t="shared" si="4"/>
        <v>-6.4992307237087683</v>
      </c>
    </row>
    <row r="33" spans="7:42" x14ac:dyDescent="0.25">
      <c r="I33">
        <f>I32</f>
        <v>2</v>
      </c>
      <c r="J33" s="5">
        <f>IF(t-DWAVE*$I32&lt;J$18,XARXI+caera*(t-DWAVE*$I32),IF(AND(t-DWAVE*$I32&gt;J$18,t-DWAVE*$I32&lt;J$18+K$18),J$13+J$22*(t-DWAVE*$I32-J$18),J$14+J$26*(t-DWAVE*$I32-J$18-K$18)))</f>
        <v>-4.3240028149180247</v>
      </c>
      <c r="K33" s="5">
        <f>IF(t-DWAVE*$I32&lt;J$18,K$12,IF(AND(t-DWAVE*$I32&gt;J$18,t-DWAVE*$I32&lt;J$18+K$18),K$13+K$22*(t-DWAVE*$I32-J$18),K$14+K$26*(t-DWAVE*$I32-(J$18+K$18))))</f>
        <v>-8.9819978888114793</v>
      </c>
      <c r="L33" s="5">
        <f>IF(t-DWAVE*$I32&lt;L$18,XARXI+caera*(t-DWAVE*$I32),IF(AND(t-DWAVE*$I32&gt;L$18,t-DWAVE*$I32&lt;L$18+M$18),L$13+L$22*(t-DWAVE*$I32-L$18),L$14+L$26*(t-DWAVE*$I32-L$18-M$18)))</f>
        <v>-4.9412289292773979</v>
      </c>
      <c r="M33" s="5">
        <f>IF(t-DWAVE*$I32&lt;L$18,M$12,IF(AND(t-DWAVE*$I32&gt;L$18,t-DWAVE*$I32&lt;L$18+M$18),M$13+M$22*(t-DWAVE*$I32-L$18),M$14+M$26*(t-DWAVE*$I32-(L$18+M$18))))</f>
        <v>-7.5957126464439391</v>
      </c>
      <c r="N33" s="5">
        <f>IF(t-DWAVE*$I32&lt;N$18,XARXI+caera*(t-DWAVE*$I32),IF(AND(t-DWAVE*$I32&gt;N$18,t-DWAVE*$I32&lt;N$18+O$18),N$13+N$22*(t-DWAVE*$I32-N$18),N$14+N$26*(t-DWAVE*$I32-N$18-O$18)))</f>
        <v>-5.3261755089026162</v>
      </c>
      <c r="O33" s="5">
        <f>IF(t-DWAVE*$I32&lt;N$18,O$12,IF(AND(t-DWAVE*$I32&gt;N$18,t-DWAVE*$I32&lt;N$18+O$18),O$13+O$22*(t-DWAVE*$I32-N$18),O$14+O$26*(t-DWAVE*$I32-(N$18+O$18))))</f>
        <v>-6.4585437744415</v>
      </c>
      <c r="P33" s="5">
        <f>IF(t-DWAVE*$I32&lt;P$18,XARXI+caera*(t-DWAVE*$I32),IF(AND(t-DWAVE*$I32&gt;P$18,t-DWAVE*$I32&lt;P$18+Q$18),P$13+P$22*(t-DWAVE*$I32-P$18),P$14+P$26*(t-DWAVE*$I32-P$18-Q$18)))</f>
        <v>-5.5994101257240931</v>
      </c>
      <c r="Q33" s="5">
        <f>IF(t-DWAVE*$I32&lt;P$18,Q$12,IF(AND(t-DWAVE*$I32&gt;P$18,t-DWAVE*$I32&lt;P$18+Q$18),Q$13+Q$22*(t-DWAVE*$I32-P$18),Q$14+Q$26*(t-DWAVE*$I32-(P$18+Q$18))))</f>
        <v>-5.4328909276264046</v>
      </c>
      <c r="R33" s="5">
        <f>IF(t-DWAVE*$I32&lt;R$18,XARXI+caera*(t-DWAVE*$I32),IF(AND(t-DWAVE*$I32&gt;R$18,t-DWAVE*$I32&lt;R$18+S$18),R$13+R$22*(t-DWAVE*$I32-R$18),R$14+R$26*(t-DWAVE*$I32-R$18-S$18)))</f>
        <v>-5.8023596910552833</v>
      </c>
      <c r="S33" s="5">
        <f>IF(t-DWAVE*$I32&lt;R$18,S$12,IF(AND(t-DWAVE*$I32&gt;R$18,t-DWAVE*$I32&lt;R$18+S$18),S$13+S$22*(t-DWAVE*$I32-R$18),S$14+S$26*(t-DWAVE*$I32-(R$18+S$18))))</f>
        <v>-4.4688356373367402</v>
      </c>
      <c r="T33" s="5">
        <f>IF(t-DWAVE*$I32&lt;T$18,XARXI+caera*(t-DWAVE*$I32),IF(AND(t-DWAVE*$I32&gt;T$18,t-DWAVE*$I32&lt;T$18+U$18),T$13+T$22*(t-DWAVE*$I32-T$18),T$14+T$26*(t-DWAVE*$I32-T$18-U$18)))</f>
        <v>-5.9541718716002006</v>
      </c>
      <c r="U33" s="5">
        <f>IF(t-DWAVE*$I32&lt;T$18,U$12,IF(AND(t-DWAVE*$I32&gt;T$18,t-DWAVE*$I32&lt;T$18+U$18),U$13+U$22*(t-DWAVE*$I32-T$18),U$14+U$26*(t-DWAVE*$I32-(T$18+U$18))))</f>
        <v>-3.5423141562774902</v>
      </c>
      <c r="V33" s="5">
        <f>IF(t-DWAVE*$I32&lt;V$18,XARXI+caera*(t-DWAVE*$I32),IF(AND(t-DWAVE*$I32&gt;V$18,t-DWAVE*$I32&lt;V$18+W$18),V$13+V$22*(t-DWAVE*$I32-V$18),V$14+V$26*(t-DWAVE*$I32-V$18-W$18)))</f>
        <v>-6.0650962759611531</v>
      </c>
      <c r="W33" s="5">
        <f>IF(t-DWAVE*$I32&lt;V$18,W$12,IF(AND(t-DWAVE*$I32&gt;V$18,t-DWAVE*$I32&lt;V$18+W$18),W$13+W$22*(t-DWAVE*$I32-V$18),W$14+W$26*(t-DWAVE*$I32-(V$18+W$18))))</f>
        <v>-2.6397012314173631</v>
      </c>
      <c r="X33" s="5">
        <f>IF(t-DWAVE*$I32&lt;X$18,XARXI+caera*(t-DWAVE*$I32),IF(AND(t-DWAVE*$I32&gt;X$18,t-DWAVE*$I32&lt;X$18+Y$18),X$13+X$22*(t-DWAVE*$I32-X$18),X$14+X$26*(t-DWAVE*$I32-X$18-Y$18)))</f>
        <v>-6.1410311065124086</v>
      </c>
      <c r="Y33" s="5">
        <f>IF(t-DWAVE*$I32&lt;X$18,Y$12,IF(AND(t-DWAVE*$I32&gt;X$18,t-DWAVE*$I32&lt;X$18+Y$18),Y$13+Y$22*(t-DWAVE*$I32-X$18),Y$14+Y$26*(t-DWAVE*$I32-(X$18+Y$18))))</f>
        <v>-1.7523176923496346</v>
      </c>
      <c r="Z33" s="5">
        <f>IF(t-DWAVE*$I32&lt;Z$18,XARXI+caera*(t-DWAVE*$I32),IF(AND(t-DWAVE*$I32&gt;Z$18,t-DWAVE*$I32&lt;Z$18+AA$18),Z$13+Z$22*(t-DWAVE*$I32-Z$18),Z$14+Z$26*(t-DWAVE*$I32-Z$18-AA$18)))</f>
        <v>-6.1853986403976684</v>
      </c>
      <c r="AA33" s="5">
        <f>IF(t-DWAVE*$I32&lt;Z$18,AA$12,IF(AND(t-DWAVE*$I32&gt;Z$18,t-DWAVE*$I32&lt;Z$18+AA$18),AA$13+AA$22*(t-DWAVE*$I32-Z$18),AA$14+AA$26*(t-DWAVE*$I32-(Z$18+AA$18))))</f>
        <v>-0.87402650446683039</v>
      </c>
      <c r="AM33">
        <f t="shared" si="5"/>
        <v>25</v>
      </c>
      <c r="AN33">
        <f t="shared" si="2"/>
        <v>-7.5</v>
      </c>
      <c r="AO33">
        <f t="shared" si="3"/>
        <v>6.6143782776614763</v>
      </c>
      <c r="AP33">
        <f t="shared" si="4"/>
        <v>-6.6143782776614763</v>
      </c>
    </row>
    <row r="34" spans="7:42" x14ac:dyDescent="0.25">
      <c r="G34" t="s">
        <v>29</v>
      </c>
      <c r="H34" t="s">
        <v>30</v>
      </c>
      <c r="I34">
        <f>I32+1</f>
        <v>3</v>
      </c>
      <c r="J34" s="5">
        <f>IF(t-DWAVE*$I34&lt;J$17,XARXI+caera*(t-DWAVE*$I34),IF(AND(t-DWAVE*$I34&gt;J$17,(t-DWAVE*$I34)&lt;J$17+K$17),J$8+J$21*(t-DWAVE*$I34-J$17),J$9+J$25*(t-DWAVE*$I34-J$17-K$17)))</f>
        <v>-9.2999999999999972</v>
      </c>
      <c r="K34" s="5">
        <f>IF(t-DWAVE*$I34&lt;J$17,K$7,IF(AND(t-DWAVE*$I34&gt;J$17,t-DWAVE*$I34&lt;J$17+K$17),K$8+K$21*(t-DWAVE*$I34-J$17),K$9+K$25*(t-DWAVE*$I34-(J$17+K$17))))</f>
        <v>9</v>
      </c>
      <c r="L34" s="5">
        <f>IF(t-DWAVE*$I34&lt;L$17,XARXI+caera*(t-DWAVE*$I34),IF(AND(t-DWAVE*$I34&gt;L$17,(t-DWAVE*$I34)&lt;L$17+M$17),L$8+L$21*(t-DWAVE*$I34-L$17),L$9+L$25*(t-DWAVE*$I34-L$17-M$17)))</f>
        <v>-9.2999999999999972</v>
      </c>
      <c r="M34" s="5">
        <f>IF(t-DWAVE*$I34&lt;L$17,M$7,IF(AND(t-DWAVE*$I34&gt;L$17,t-DWAVE*$I34&lt;L$17+M$17),M$8+M$21*(t-DWAVE*$I34-L$17),M$9+M$25*(t-DWAVE*$I34-(L$17+M$17))))</f>
        <v>8</v>
      </c>
      <c r="N34" s="5">
        <f>IF(t-DWAVE*$I34&lt;N$17,XARXI+caera*(t-DWAVE*$I34),IF(AND(t-DWAVE*$I34&gt;N$17,(t-DWAVE*$I34)&lt;N$17+O$17),N$8+N$21*(t-DWAVE*$I34-N$17),N$9+N$25*(t-DWAVE*$I34-N$17-O$17)))</f>
        <v>-9.2999999999999972</v>
      </c>
      <c r="O34" s="5">
        <f>IF(t-DWAVE*$I34&lt;N$17,O$7,IF(AND(t-DWAVE*$I34&gt;N$17,t-DWAVE*$I34&lt;N$17+O$17),O$8+O$21*(t-DWAVE*$I34-N$17),O$9+O$25*(t-DWAVE*$I34-(N$17+O$17))))</f>
        <v>7</v>
      </c>
      <c r="P34" s="5">
        <f>IF(t-DWAVE*$I34&lt;P$17,XARXI+caera*(t-DWAVE*$I34),IF(AND(t-DWAVE*$I34&gt;P$17,(t-DWAVE*$I34)&lt;P$17+Q$17),P$8+P$21*(t-DWAVE*$I34-P$17),P$9+P$25*(t-DWAVE*$I34-P$17-Q$17)))</f>
        <v>-9.2999999999999972</v>
      </c>
      <c r="Q34" s="5">
        <f>IF(t-DWAVE*$I34&lt;P$17,Q$7,IF(AND(t-DWAVE*$I34&gt;P$17,t-DWAVE*$I34&lt;P$17+Q$17),Q$8+Q$21*(t-DWAVE*$I34-P$17),Q$9+Q$25*(t-DWAVE*$I34-(P$17+Q$17))))</f>
        <v>6</v>
      </c>
      <c r="R34" s="5">
        <f>IF(t-DWAVE*$I34&lt;R$17,XARXI+caera*(t-DWAVE*$I34),IF(AND(t-DWAVE*$I34&gt;R$17,(t-DWAVE*$I34)&lt;R$17+S$17),R$8+R$21*(t-DWAVE*$I34-R$17),R$9+R$25*(t-DWAVE*$I34-R$17-S$17)))</f>
        <v>-9.2999999999999972</v>
      </c>
      <c r="S34" s="5">
        <f>IF(t-DWAVE*$I34&lt;R$17,S$7,IF(AND(t-DWAVE*$I34&gt;R$17,t-DWAVE*$I34&lt;R$17+S$17),S$8+S$21*(t-DWAVE*$I34-R$17),S$9+S$25*(t-DWAVE*$I34-(R$17+S$17))))</f>
        <v>5</v>
      </c>
      <c r="T34" s="5">
        <f>IF(t-DWAVE*$I34&lt;T$17,XARXI+caera*(t-DWAVE*$I34),IF(AND(t-DWAVE*$I34&gt;T$17,(t-DWAVE*$I34)&lt;T$17+U$17),T$8+T$21*(t-DWAVE*$I34-T$17),T$9+T$25*(t-DWAVE*$I34-T$17-U$17)))</f>
        <v>-9.2999999999999972</v>
      </c>
      <c r="U34" s="5">
        <f>IF(t-DWAVE*$I34&lt;T$17,U$7,IF(AND(t-DWAVE*$I34&gt;T$17,t-DWAVE*$I34&lt;T$17+U$17),U$8+U$21*(t-DWAVE*$I34-T$17),U$9+U$25*(t-DWAVE*$I34-(T$17+U$17))))</f>
        <v>4</v>
      </c>
      <c r="V34" s="5">
        <f>IF(t-DWAVE*$I34&lt;V$17,XARXI+caera*(t-DWAVE*$I34),IF(AND(t-DWAVE*$I34&gt;V$17,(t-DWAVE*$I34)&lt;V$17+W$17),V$8+V$21*(t-DWAVE*$I34-V$17),V$9+V$25*(t-DWAVE*$I34-V$17-W$17)))</f>
        <v>-9.3806486614405991</v>
      </c>
      <c r="W34" s="5">
        <f>IF(t-DWAVE*$I34&lt;V$17,W$7,IF(AND(t-DWAVE*$I34&gt;V$17,t-DWAVE*$I34&lt;V$17+W$17),W$8+W$21*(t-DWAVE*$I34-V$17),W$9+W$25*(t-DWAVE*$I34-(V$17+W$17))))</f>
        <v>2.9835376609193371</v>
      </c>
      <c r="X34" s="5">
        <f>IF(t-DWAVE*$I34&lt;X$17,XARXI+caera*(t-DWAVE*$I34),IF(AND(t-DWAVE*$I34&gt;X$17,(t-DWAVE*$I34)&lt;X$17+Y$17),X$8+X$21*(t-DWAVE*$I34-X$17),X$9+X$25*(t-DWAVE*$I34-X$17-Y$17)))</f>
        <v>-9.4667451431405194</v>
      </c>
      <c r="Y34" s="5">
        <f>IF(t-DWAVE*$I34&lt;X$17,Y$7,IF(AND(t-DWAVE*$I34&gt;X$17,t-DWAVE*$I34&lt;X$17+Y$17),Y$8+Y$21*(t-DWAVE*$I34-X$17),Y$9+Y$25*(t-DWAVE*$I34-(X$17+Y$17))))</f>
        <v>1.97756701573567</v>
      </c>
      <c r="Z34" s="5">
        <f>IF(t-DWAVE*$I34&lt;Z$17,XARXI+caera*(t-DWAVE*$I34),IF(AND(t-DWAVE*$I34&gt;Z$17,(t-DWAVE*$I34)&lt;Z$17+AA$17),Z$8+Z$21*(t-DWAVE*$I34-Z$17),Z$9+Z$25*(t-DWAVE*$I34-Z$17-AA$17)))</f>
        <v>-9.5168671682174519</v>
      </c>
      <c r="AA34" s="5">
        <f>IF(t-DWAVE*$I34&lt;Z$17,AA$7,IF(AND(t-DWAVE*$I34&gt;Z$17,t-DWAVE*$I34&lt;Z$17+AA$17),AA$8+AA$21*(t-DWAVE*$I34-Z$17),AA$9+AA$25*(t-DWAVE*$I34-(Z$17+AA$17))))</f>
        <v>0.98550995282304299</v>
      </c>
      <c r="AM34">
        <f t="shared" si="5"/>
        <v>26</v>
      </c>
      <c r="AN34">
        <f t="shared" si="2"/>
        <v>-7.4</v>
      </c>
      <c r="AO34">
        <f t="shared" si="3"/>
        <v>6.726068688320094</v>
      </c>
      <c r="AP34">
        <f t="shared" si="4"/>
        <v>-6.726068688320094</v>
      </c>
    </row>
    <row r="35" spans="7:42" x14ac:dyDescent="0.25">
      <c r="G35">
        <f>J28</f>
        <v>1.6007432883036676</v>
      </c>
      <c r="H35">
        <f>K28</f>
        <v>5.9255574662277493</v>
      </c>
      <c r="I35">
        <f>I34</f>
        <v>3</v>
      </c>
      <c r="J35" s="5">
        <f>IF(t-DWAVE*$I34&lt;J$18,XARXI+caera*(t-DWAVE*$I34),IF(AND(t-DWAVE*$I34&gt;J$18,t-DWAVE*$I34&lt;J$18+K$18),J$13+J$22*(t-DWAVE*$I34-J$18),J$14+J$26*(t-DWAVE*$I34-J$18-K$18)))</f>
        <v>-9.2999999999999972</v>
      </c>
      <c r="K35" s="5">
        <f>IF(t-DWAVE*$I34&lt;J$18,K$12,IF(AND(t-DWAVE*$I34&gt;J$18,t-DWAVE*$I34&lt;J$18+K$18),K$13+K$22*(t-DWAVE*$I34-J$18),K$14+K$26*(t-DWAVE*$I34-(J$18+K$18))))</f>
        <v>-9</v>
      </c>
      <c r="L35" s="5">
        <f>IF(t-DWAVE*$I34&lt;L$18,XARXI+caera*(t-DWAVE*$I34),IF(AND(t-DWAVE*$I34&gt;L$18,t-DWAVE*$I34&lt;L$18+M$18),L$13+L$22*(t-DWAVE*$I34-L$18),L$14+L$26*(t-DWAVE*$I34-L$18-M$18)))</f>
        <v>-9.2999999999999972</v>
      </c>
      <c r="M35" s="5">
        <f>IF(t-DWAVE*$I34&lt;L$18,M$12,IF(AND(t-DWAVE*$I34&gt;L$18,t-DWAVE*$I34&lt;L$18+M$18),M$13+M$22*(t-DWAVE*$I34-L$18),M$14+M$26*(t-DWAVE*$I34-(L$18+M$18))))</f>
        <v>-8</v>
      </c>
      <c r="N35" s="5">
        <f>IF(t-DWAVE*$I34&lt;N$18,XARXI+caera*(t-DWAVE*$I34),IF(AND(t-DWAVE*$I34&gt;N$18,t-DWAVE*$I34&lt;N$18+O$18),N$13+N$22*(t-DWAVE*$I34-N$18),N$14+N$26*(t-DWAVE*$I34-N$18-O$18)))</f>
        <v>-9.2999999999999972</v>
      </c>
      <c r="O35" s="5">
        <f>IF(t-DWAVE*$I34&lt;N$18,O$12,IF(AND(t-DWAVE*$I34&gt;N$18,t-DWAVE*$I34&lt;N$18+O$18),O$13+O$22*(t-DWAVE*$I34-N$18),O$14+O$26*(t-DWAVE*$I34-(N$18+O$18))))</f>
        <v>-7</v>
      </c>
      <c r="P35" s="5">
        <f>IF(t-DWAVE*$I34&lt;P$18,XARXI+caera*(t-DWAVE*$I34),IF(AND(t-DWAVE*$I34&gt;P$18,t-DWAVE*$I34&lt;P$18+Q$18),P$13+P$22*(t-DWAVE*$I34-P$18),P$14+P$26*(t-DWAVE*$I34-P$18-Q$18)))</f>
        <v>-9.2999999999999972</v>
      </c>
      <c r="Q35" s="5">
        <f>IF(t-DWAVE*$I34&lt;P$18,Q$12,IF(AND(t-DWAVE*$I34&gt;P$18,t-DWAVE*$I34&lt;P$18+Q$18),Q$13+Q$22*(t-DWAVE*$I34-P$18),Q$14+Q$26*(t-DWAVE*$I34-(P$18+Q$18))))</f>
        <v>-6</v>
      </c>
      <c r="R35" s="5">
        <f>IF(t-DWAVE*$I34&lt;R$18,XARXI+caera*(t-DWAVE*$I34),IF(AND(t-DWAVE*$I34&gt;R$18,t-DWAVE*$I34&lt;R$18+S$18),R$13+R$22*(t-DWAVE*$I34-R$18),R$14+R$26*(t-DWAVE*$I34-R$18-S$18)))</f>
        <v>-9.2999999999999972</v>
      </c>
      <c r="S35" s="5">
        <f>IF(t-DWAVE*$I34&lt;R$18,S$12,IF(AND(t-DWAVE*$I34&gt;R$18,t-DWAVE*$I34&lt;R$18+S$18),S$13+S$22*(t-DWAVE*$I34-R$18),S$14+S$26*(t-DWAVE*$I34-(R$18+S$18))))</f>
        <v>-5</v>
      </c>
      <c r="T35" s="5">
        <f>IF(t-DWAVE*$I34&lt;T$18,XARXI+caera*(t-DWAVE*$I34),IF(AND(t-DWAVE*$I34&gt;T$18,t-DWAVE*$I34&lt;T$18+U$18),T$13+T$22*(t-DWAVE*$I34-T$18),T$14+T$26*(t-DWAVE*$I34-T$18-U$18)))</f>
        <v>-9.2999999999999972</v>
      </c>
      <c r="U35" s="5">
        <f>IF(t-DWAVE*$I34&lt;T$18,U$12,IF(AND(t-DWAVE*$I34&gt;T$18,t-DWAVE*$I34&lt;T$18+U$18),U$13+U$22*(t-DWAVE*$I34-T$18),U$14+U$26*(t-DWAVE*$I34-(T$18+U$18))))</f>
        <v>-4</v>
      </c>
      <c r="V35" s="5">
        <f>IF(t-DWAVE*$I34&lt;V$18,XARXI+caera*(t-DWAVE*$I34),IF(AND(t-DWAVE*$I34&gt;V$18,t-DWAVE*$I34&lt;V$18+W$18),V$13+V$22*(t-DWAVE*$I34-V$18),V$14+V$26*(t-DWAVE*$I34-V$18-W$18)))</f>
        <v>-9.3806486614405991</v>
      </c>
      <c r="W35" s="5">
        <f>IF(t-DWAVE*$I34&lt;V$18,W$12,IF(AND(t-DWAVE*$I34&gt;V$18,t-DWAVE*$I34&lt;V$18+W$18),W$13+W$22*(t-DWAVE*$I34-V$18),W$14+W$26*(t-DWAVE*$I34-(V$18+W$18))))</f>
        <v>-2.9835376609193371</v>
      </c>
      <c r="X35" s="5">
        <f>IF(t-DWAVE*$I34&lt;X$18,XARXI+caera*(t-DWAVE*$I34),IF(AND(t-DWAVE*$I34&gt;X$18,t-DWAVE*$I34&lt;X$18+Y$18),X$13+X$22*(t-DWAVE*$I34-X$18),X$14+X$26*(t-DWAVE*$I34-X$18-Y$18)))</f>
        <v>-9.4667451431405194</v>
      </c>
      <c r="Y35" s="5">
        <f>IF(t-DWAVE*$I34&lt;X$18,Y$12,IF(AND(t-DWAVE*$I34&gt;X$18,t-DWAVE*$I34&lt;X$18+Y$18),Y$13+Y$22*(t-DWAVE*$I34-X$18),Y$14+Y$26*(t-DWAVE*$I34-(X$18+Y$18))))</f>
        <v>-1.97756701573567</v>
      </c>
      <c r="Z35" s="5">
        <f>IF(t-DWAVE*$I34&lt;Z$18,XARXI+caera*(t-DWAVE*$I34),IF(AND(t-DWAVE*$I34&gt;Z$18,t-DWAVE*$I34&lt;Z$18+AA$18),Z$13+Z$22*(t-DWAVE*$I34-Z$18),Z$14+Z$26*(t-DWAVE*$I34-Z$18-AA$18)))</f>
        <v>-9.5168671682174519</v>
      </c>
      <c r="AA35" s="5">
        <f>IF(t-DWAVE*$I34&lt;Z$18,AA$12,IF(AND(t-DWAVE*$I34&gt;Z$18,t-DWAVE*$I34&lt;Z$18+AA$18),AA$13+AA$22*(t-DWAVE*$I34-Z$18),AA$14+AA$26*(t-DWAVE*$I34-(Z$18+AA$18))))</f>
        <v>-0.98550995282304299</v>
      </c>
      <c r="AM35">
        <f t="shared" si="5"/>
        <v>27</v>
      </c>
      <c r="AN35">
        <f t="shared" si="2"/>
        <v>-7.3</v>
      </c>
      <c r="AO35">
        <f t="shared" si="3"/>
        <v>6.8344714499367107</v>
      </c>
      <c r="AP35">
        <f t="shared" si="4"/>
        <v>-6.8344714499367107</v>
      </c>
    </row>
    <row r="36" spans="7:42" x14ac:dyDescent="0.25">
      <c r="G36">
        <f>J29</f>
        <v>1.6007432883036676</v>
      </c>
      <c r="H36">
        <f>K29</f>
        <v>-5.9255574662277493</v>
      </c>
      <c r="I36">
        <f>I34+1</f>
        <v>4</v>
      </c>
      <c r="J36" s="5">
        <f>IF(t-DWAVE*$I36&lt;J$17,XARXI+caera*(t-DWAVE*$I36),IF(AND(t-DWAVE*$I36&gt;J$17,(t-DWAVE*$I36)&lt;J$17+K$17),J$8+J$21*(t-DWAVE*$I36-J$17),J$9+J$25*(t-DWAVE*$I36-J$17-K$17)))</f>
        <v>-14.299999999999997</v>
      </c>
      <c r="K36" s="5">
        <f>IF(t-DWAVE*$I36&lt;J$17,K$7,IF(AND(t-DWAVE*$I36&gt;J$17,t-DWAVE*$I36&lt;J$17+K$17),K$8+K$21*(t-DWAVE*$I36-J$17),K$9+K$25*(t-DWAVE*$I36-(J$17+K$17))))</f>
        <v>9</v>
      </c>
      <c r="L36" s="5">
        <f>IF(t-DWAVE*$I36&lt;L$17,XARXI+caera*(t-DWAVE*$I36),IF(AND(t-DWAVE*$I36&gt;L$17,(t-DWAVE*$I36)&lt;L$17+M$17),L$8+L$21*(t-DWAVE*$I36-L$17),L$9+L$25*(t-DWAVE*$I36-L$17-M$17)))</f>
        <v>-14.299999999999997</v>
      </c>
      <c r="M36" s="5">
        <f>IF(t-DWAVE*$I36&lt;L$17,M$7,IF(AND(t-DWAVE*$I36&gt;L$17,t-DWAVE*$I36&lt;L$17+M$17),M$8+M$21*(t-DWAVE*$I36-L$17),M$9+M$25*(t-DWAVE*$I36-(L$17+M$17))))</f>
        <v>8</v>
      </c>
      <c r="N36" s="5">
        <f>IF(t-DWAVE*$I36&lt;N$17,XARXI+caera*(t-DWAVE*$I36),IF(AND(t-DWAVE*$I36&gt;N$17,(t-DWAVE*$I36)&lt;N$17+O$17),N$8+N$21*(t-DWAVE*$I36-N$17),N$9+N$25*(t-DWAVE*$I36-N$17-O$17)))</f>
        <v>-14.299999999999997</v>
      </c>
      <c r="O36" s="5">
        <f>IF(t-DWAVE*$I36&lt;N$17,O$7,IF(AND(t-DWAVE*$I36&gt;N$17,t-DWAVE*$I36&lt;N$17+O$17),O$8+O$21*(t-DWAVE*$I36-N$17),O$9+O$25*(t-DWAVE*$I36-(N$17+O$17))))</f>
        <v>7</v>
      </c>
      <c r="P36" s="5">
        <f>IF(t-DWAVE*$I36&lt;P$17,XARXI+caera*(t-DWAVE*$I36),IF(AND(t-DWAVE*$I36&gt;P$17,(t-DWAVE*$I36)&lt;P$17+Q$17),P$8+P$21*(t-DWAVE*$I36-P$17),P$9+P$25*(t-DWAVE*$I36-P$17-Q$17)))</f>
        <v>-14.299999999999997</v>
      </c>
      <c r="Q36" s="5">
        <f>IF(t-DWAVE*$I36&lt;P$17,Q$7,IF(AND(t-DWAVE*$I36&gt;P$17,t-DWAVE*$I36&lt;P$17+Q$17),Q$8+Q$21*(t-DWAVE*$I36-P$17),Q$9+Q$25*(t-DWAVE*$I36-(P$17+Q$17))))</f>
        <v>6</v>
      </c>
      <c r="R36" s="5">
        <f>IF(t-DWAVE*$I36&lt;R$17,XARXI+caera*(t-DWAVE*$I36),IF(AND(t-DWAVE*$I36&gt;R$17,(t-DWAVE*$I36)&lt;R$17+S$17),R$8+R$21*(t-DWAVE*$I36-R$17),R$9+R$25*(t-DWAVE*$I36-R$17-S$17)))</f>
        <v>-14.299999999999997</v>
      </c>
      <c r="S36" s="5">
        <f>IF(t-DWAVE*$I36&lt;R$17,S$7,IF(AND(t-DWAVE*$I36&gt;R$17,t-DWAVE*$I36&lt;R$17+S$17),S$8+S$21*(t-DWAVE*$I36-R$17),S$9+S$25*(t-DWAVE*$I36-(R$17+S$17))))</f>
        <v>5</v>
      </c>
      <c r="T36" s="5">
        <f>IF(t-DWAVE*$I36&lt;T$17,XARXI+caera*(t-DWAVE*$I36),IF(AND(t-DWAVE*$I36&gt;T$17,(t-DWAVE*$I36)&lt;T$17+U$17),T$8+T$21*(t-DWAVE*$I36-T$17),T$9+T$25*(t-DWAVE*$I36-T$17-U$17)))</f>
        <v>-14.299999999999997</v>
      </c>
      <c r="U36" s="5">
        <f>IF(t-DWAVE*$I36&lt;T$17,U$7,IF(AND(t-DWAVE*$I36&gt;T$17,t-DWAVE*$I36&lt;T$17+U$17),U$8+U$21*(t-DWAVE*$I36-T$17),U$9+U$25*(t-DWAVE*$I36-(T$17+U$17))))</f>
        <v>4</v>
      </c>
      <c r="V36" s="5">
        <f>IF(t-DWAVE*$I36&lt;V$17,XARXI+caera*(t-DWAVE*$I36),IF(AND(t-DWAVE*$I36&gt;V$17,(t-DWAVE*$I36)&lt;V$17+W$17),V$8+V$21*(t-DWAVE*$I36-V$17),V$9+V$25*(t-DWAVE*$I36-V$17-W$17)))</f>
        <v>-14.299999999999997</v>
      </c>
      <c r="W36" s="5">
        <f>IF(t-DWAVE*$I36&lt;V$17,W$7,IF(AND(t-DWAVE*$I36&gt;V$17,t-DWAVE*$I36&lt;V$17+W$17),W$8+W$21*(t-DWAVE*$I36-V$17),W$9+W$25*(t-DWAVE*$I36-(V$17+W$17))))</f>
        <v>3</v>
      </c>
      <c r="X36" s="5">
        <f>IF(t-DWAVE*$I36&lt;X$17,XARXI+caera*(t-DWAVE*$I36),IF(AND(t-DWAVE*$I36&gt;X$17,(t-DWAVE*$I36)&lt;X$17+Y$17),X$8+X$21*(t-DWAVE*$I36-X$17),X$9+X$25*(t-DWAVE*$I36-X$17-Y$17)))</f>
        <v>-14.299999999999997</v>
      </c>
      <c r="Y36" s="5">
        <f>IF(t-DWAVE*$I36&lt;X$17,Y$7,IF(AND(t-DWAVE*$I36&gt;X$17,t-DWAVE*$I36&lt;X$17+Y$17),Y$8+Y$21*(t-DWAVE*$I36-X$17),Y$9+Y$25*(t-DWAVE*$I36-(X$17+Y$17))))</f>
        <v>2</v>
      </c>
      <c r="Z36" s="5">
        <f>IF(t-DWAVE*$I36&lt;Z$17,XARXI+caera*(t-DWAVE*$I36),IF(AND(t-DWAVE*$I36&gt;Z$17,(t-DWAVE*$I36)&lt;Z$17+AA$17),Z$8+Z$21*(t-DWAVE*$I36-Z$17),Z$9+Z$25*(t-DWAVE*$I36-Z$17-AA$17)))</f>
        <v>-14.299999999999997</v>
      </c>
      <c r="AA36" s="5">
        <f>IF(t-DWAVE*$I36&lt;Z$17,AA$7,IF(AND(t-DWAVE*$I36&gt;Z$17,t-DWAVE*$I36&lt;Z$17+AA$17),AA$8+AA$21*(t-DWAVE*$I36-Z$17),AA$9+AA$25*(t-DWAVE*$I36-(Z$17+AA$17))))</f>
        <v>1</v>
      </c>
      <c r="AM36">
        <f t="shared" si="5"/>
        <v>28</v>
      </c>
      <c r="AN36">
        <f t="shared" si="2"/>
        <v>-7.1999999999999993</v>
      </c>
      <c r="AO36">
        <f t="shared" si="3"/>
        <v>6.9397406291589894</v>
      </c>
      <c r="AP36">
        <f t="shared" si="4"/>
        <v>-6.9397406291589894</v>
      </c>
    </row>
    <row r="37" spans="7:42" x14ac:dyDescent="0.25">
      <c r="G37">
        <f>L28</f>
        <v>1.2868361926202523</v>
      </c>
      <c r="H37">
        <f>M28</f>
        <v>5.217551743172999</v>
      </c>
      <c r="I37">
        <f>I36</f>
        <v>4</v>
      </c>
      <c r="J37" s="5">
        <f>IF(t-DWAVE*$I36&lt;J$18,XARXI+caera*(t-DWAVE*$I36),IF(AND(t-DWAVE*$I36&gt;J$18,t-DWAVE*$I36&lt;J$18+K$18),J$13+J$22*(t-DWAVE*$I36-J$18),J$14+J$26*(t-DWAVE*$I36-J$18-K$18)))</f>
        <v>-14.299999999999997</v>
      </c>
      <c r="K37" s="5">
        <f>IF(t-DWAVE*$I36&lt;J$18,K$12,IF(AND(t-DWAVE*$I36&gt;J$18,t-DWAVE*$I36&lt;J$18+K$18),K$13+K$22*(t-DWAVE*$I36-J$18),K$14+K$26*(t-DWAVE*$I36-(J$18+K$18))))</f>
        <v>-9</v>
      </c>
      <c r="L37" s="5">
        <f>IF(t-DWAVE*$I36&lt;L$18,XARXI+caera*(t-DWAVE*$I36),IF(AND(t-DWAVE*$I36&gt;L$18,t-DWAVE*$I36&lt;L$18+M$18),L$13+L$22*(t-DWAVE*$I36-L$18),L$14+L$26*(t-DWAVE*$I36-L$18-M$18)))</f>
        <v>-14.299999999999997</v>
      </c>
      <c r="M37" s="5">
        <f>IF(t-DWAVE*$I36&lt;L$18,M$12,IF(AND(t-DWAVE*$I36&gt;L$18,t-DWAVE*$I36&lt;L$18+M$18),M$13+M$22*(t-DWAVE*$I36-L$18),M$14+M$26*(t-DWAVE*$I36-(L$18+M$18))))</f>
        <v>-8</v>
      </c>
      <c r="N37" s="5">
        <f>IF(t-DWAVE*$I36&lt;N$18,XARXI+caera*(t-DWAVE*$I36),IF(AND(t-DWAVE*$I36&gt;N$18,t-DWAVE*$I36&lt;N$18+O$18),N$13+N$22*(t-DWAVE*$I36-N$18),N$14+N$26*(t-DWAVE*$I36-N$18-O$18)))</f>
        <v>-14.299999999999997</v>
      </c>
      <c r="O37" s="5">
        <f>IF(t-DWAVE*$I36&lt;N$18,O$12,IF(AND(t-DWAVE*$I36&gt;N$18,t-DWAVE*$I36&lt;N$18+O$18),O$13+O$22*(t-DWAVE*$I36-N$18),O$14+O$26*(t-DWAVE*$I36-(N$18+O$18))))</f>
        <v>-7</v>
      </c>
      <c r="P37" s="5">
        <f>IF(t-DWAVE*$I36&lt;P$18,XARXI+caera*(t-DWAVE*$I36),IF(AND(t-DWAVE*$I36&gt;P$18,t-DWAVE*$I36&lt;P$18+Q$18),P$13+P$22*(t-DWAVE*$I36-P$18),P$14+P$26*(t-DWAVE*$I36-P$18-Q$18)))</f>
        <v>-14.299999999999997</v>
      </c>
      <c r="Q37" s="5">
        <f>IF(t-DWAVE*$I36&lt;P$18,Q$12,IF(AND(t-DWAVE*$I36&gt;P$18,t-DWAVE*$I36&lt;P$18+Q$18),Q$13+Q$22*(t-DWAVE*$I36-P$18),Q$14+Q$26*(t-DWAVE*$I36-(P$18+Q$18))))</f>
        <v>-6</v>
      </c>
      <c r="R37" s="5">
        <f>IF(t-DWAVE*$I36&lt;R$18,XARXI+caera*(t-DWAVE*$I36),IF(AND(t-DWAVE*$I36&gt;R$18,t-DWAVE*$I36&lt;R$18+S$18),R$13+R$22*(t-DWAVE*$I36-R$18),R$14+R$26*(t-DWAVE*$I36-R$18-S$18)))</f>
        <v>-14.299999999999997</v>
      </c>
      <c r="S37" s="5">
        <f>IF(t-DWAVE*$I36&lt;R$18,S$12,IF(AND(t-DWAVE*$I36&gt;R$18,t-DWAVE*$I36&lt;R$18+S$18),S$13+S$22*(t-DWAVE*$I36-R$18),S$14+S$26*(t-DWAVE*$I36-(R$18+S$18))))</f>
        <v>-5</v>
      </c>
      <c r="T37" s="5">
        <f>IF(t-DWAVE*$I36&lt;T$18,XARXI+caera*(t-DWAVE*$I36),IF(AND(t-DWAVE*$I36&gt;T$18,t-DWAVE*$I36&lt;T$18+U$18),T$13+T$22*(t-DWAVE*$I36-T$18),T$14+T$26*(t-DWAVE*$I36-T$18-U$18)))</f>
        <v>-14.299999999999997</v>
      </c>
      <c r="U37" s="5">
        <f>IF(t-DWAVE*$I36&lt;T$18,U$12,IF(AND(t-DWAVE*$I36&gt;T$18,t-DWAVE*$I36&lt;T$18+U$18),U$13+U$22*(t-DWAVE*$I36-T$18),U$14+U$26*(t-DWAVE*$I36-(T$18+U$18))))</f>
        <v>-4</v>
      </c>
      <c r="V37" s="5">
        <f>IF(t-DWAVE*$I36&lt;V$18,XARXI+caera*(t-DWAVE*$I36),IF(AND(t-DWAVE*$I36&gt;V$18,t-DWAVE*$I36&lt;V$18+W$18),V$13+V$22*(t-DWAVE*$I36-V$18),V$14+V$26*(t-DWAVE*$I36-V$18-W$18)))</f>
        <v>-14.299999999999997</v>
      </c>
      <c r="W37" s="5">
        <f>IF(t-DWAVE*$I36&lt;V$18,W$12,IF(AND(t-DWAVE*$I36&gt;V$18,t-DWAVE*$I36&lt;V$18+W$18),W$13+W$22*(t-DWAVE*$I36-V$18),W$14+W$26*(t-DWAVE*$I36-(V$18+W$18))))</f>
        <v>-3</v>
      </c>
      <c r="X37" s="5">
        <f>IF(t-DWAVE*$I36&lt;X$18,XARXI+caera*(t-DWAVE*$I36),IF(AND(t-DWAVE*$I36&gt;X$18,t-DWAVE*$I36&lt;X$18+Y$18),X$13+X$22*(t-DWAVE*$I36-X$18),X$14+X$26*(t-DWAVE*$I36-X$18-Y$18)))</f>
        <v>-14.299999999999997</v>
      </c>
      <c r="Y37" s="5">
        <f>IF(t-DWAVE*$I36&lt;X$18,Y$12,IF(AND(t-DWAVE*$I36&gt;X$18,t-DWAVE*$I36&lt;X$18+Y$18),Y$13+Y$22*(t-DWAVE*$I36-X$18),Y$14+Y$26*(t-DWAVE*$I36-(X$18+Y$18))))</f>
        <v>-2</v>
      </c>
      <c r="Z37" s="5">
        <f>IF(t-DWAVE*$I36&lt;Z$18,XARXI+caera*(t-DWAVE*$I36),IF(AND(t-DWAVE*$I36&gt;Z$18,t-DWAVE*$I36&lt;Z$18+AA$18),Z$13+Z$22*(t-DWAVE*$I36-Z$18),Z$14+Z$26*(t-DWAVE*$I36-Z$18-AA$18)))</f>
        <v>-14.299999999999997</v>
      </c>
      <c r="AA37" s="5">
        <f>IF(t-DWAVE*$I36&lt;Z$18,AA$12,IF(AND(t-DWAVE*$I36&gt;Z$18,t-DWAVE*$I36&lt;Z$18+AA$18),AA$13+AA$22*(t-DWAVE*$I36-Z$18),AA$14+AA$26*(t-DWAVE*$I36-(Z$18+AA$18))))</f>
        <v>-1</v>
      </c>
      <c r="AM37">
        <f t="shared" si="5"/>
        <v>29</v>
      </c>
      <c r="AN37">
        <f t="shared" si="2"/>
        <v>-7.1</v>
      </c>
      <c r="AO37">
        <f t="shared" si="3"/>
        <v>7.0420167565833021</v>
      </c>
      <c r="AP37">
        <f t="shared" si="4"/>
        <v>-7.0420167565833021</v>
      </c>
    </row>
    <row r="38" spans="7:42" x14ac:dyDescent="0.25">
      <c r="G38">
        <f>L29</f>
        <v>1.2868361926202523</v>
      </c>
      <c r="H38">
        <f>M29</f>
        <v>-5.217551743172999</v>
      </c>
      <c r="I38">
        <f>I36+1</f>
        <v>5</v>
      </c>
      <c r="J38" s="5">
        <f>IF(t-DWAVE*$I38&lt;J$17,XARXI+caera*(t-DWAVE*$I38),IF(AND(t-DWAVE*$I38&gt;J$17,(t-DWAVE*$I38)&lt;J$17+K$17),J$8+J$21*(t-DWAVE*$I38-J$17),J$9+J$25*(t-DWAVE*$I38-J$17-K$17)))</f>
        <v>-19.299999999999997</v>
      </c>
      <c r="K38" s="5">
        <f>IF(t-DWAVE*$I38&lt;J$17,K$7,IF(AND(t-DWAVE*$I38&gt;J$17,t-DWAVE*$I38&lt;J$17+K$17),K$8+K$21*(t-DWAVE*$I38-J$17),K$9+K$25*(t-DWAVE*$I38-(J$17+K$17))))</f>
        <v>9</v>
      </c>
      <c r="L38" s="5">
        <f>IF(t-DWAVE*$I38&lt;L$17,XARXI+caera*(t-DWAVE*$I38),IF(AND(t-DWAVE*$I38&gt;L$17,(t-DWAVE*$I38)&lt;L$17+M$17),L$8+L$21*(t-DWAVE*$I38-L$17),L$9+L$25*(t-DWAVE*$I38-L$17-M$17)))</f>
        <v>-19.299999999999997</v>
      </c>
      <c r="M38" s="5">
        <f>IF(t-DWAVE*$I38&lt;L$17,M$7,IF(AND(t-DWAVE*$I38&gt;L$17,t-DWAVE*$I38&lt;L$17+M$17),M$8+M$21*(t-DWAVE*$I38-L$17),M$9+M$25*(t-DWAVE*$I38-(L$17+M$17))))</f>
        <v>8</v>
      </c>
      <c r="N38" s="5">
        <f>IF(t-DWAVE*$I38&lt;N$17,XARXI+caera*(t-DWAVE*$I38),IF(AND(t-DWAVE*$I38&gt;N$17,(t-DWAVE*$I38)&lt;N$17+O$17),N$8+N$21*(t-DWAVE*$I38-N$17),N$9+N$25*(t-DWAVE*$I38-N$17-O$17)))</f>
        <v>-19.299999999999997</v>
      </c>
      <c r="O38" s="5">
        <f>IF(t-DWAVE*$I38&lt;N$17,O$7,IF(AND(t-DWAVE*$I38&gt;N$17,t-DWAVE*$I38&lt;N$17+O$17),O$8+O$21*(t-DWAVE*$I38-N$17),O$9+O$25*(t-DWAVE*$I38-(N$17+O$17))))</f>
        <v>7</v>
      </c>
      <c r="P38" s="5">
        <f>IF(t-DWAVE*$I38&lt;P$17,XARXI+caera*(t-DWAVE*$I38),IF(AND(t-DWAVE*$I38&gt;P$17,(t-DWAVE*$I38)&lt;P$17+Q$17),P$8+P$21*(t-DWAVE*$I38-P$17),P$9+P$25*(t-DWAVE*$I38-P$17-Q$17)))</f>
        <v>-19.299999999999997</v>
      </c>
      <c r="Q38" s="5">
        <f>IF(t-DWAVE*$I38&lt;P$17,Q$7,IF(AND(t-DWAVE*$I38&gt;P$17,t-DWAVE*$I38&lt;P$17+Q$17),Q$8+Q$21*(t-DWAVE*$I38-P$17),Q$9+Q$25*(t-DWAVE*$I38-(P$17+Q$17))))</f>
        <v>6</v>
      </c>
      <c r="R38" s="5">
        <f>IF(t-DWAVE*$I38&lt;R$17,XARXI+caera*(t-DWAVE*$I38),IF(AND(t-DWAVE*$I38&gt;R$17,(t-DWAVE*$I38)&lt;R$17+S$17),R$8+R$21*(t-DWAVE*$I38-R$17),R$9+R$25*(t-DWAVE*$I38-R$17-S$17)))</f>
        <v>-19.299999999999997</v>
      </c>
      <c r="S38" s="5">
        <f>IF(t-DWAVE*$I38&lt;R$17,S$7,IF(AND(t-DWAVE*$I38&gt;R$17,t-DWAVE*$I38&lt;R$17+S$17),S$8+S$21*(t-DWAVE*$I38-R$17),S$9+S$25*(t-DWAVE*$I38-(R$17+S$17))))</f>
        <v>5</v>
      </c>
      <c r="T38" s="5">
        <f>IF(t-DWAVE*$I38&lt;T$17,XARXI+caera*(t-DWAVE*$I38),IF(AND(t-DWAVE*$I38&gt;T$17,(t-DWAVE*$I38)&lt;T$17+U$17),T$8+T$21*(t-DWAVE*$I38-T$17),T$9+T$25*(t-DWAVE*$I38-T$17-U$17)))</f>
        <v>-19.299999999999997</v>
      </c>
      <c r="U38" s="5">
        <f>IF(t-DWAVE*$I38&lt;T$17,U$7,IF(AND(t-DWAVE*$I38&gt;T$17,t-DWAVE*$I38&lt;T$17+U$17),U$8+U$21*(t-DWAVE*$I38-T$17),U$9+U$25*(t-DWAVE*$I38-(T$17+U$17))))</f>
        <v>4</v>
      </c>
      <c r="V38" s="5">
        <f>IF(t-DWAVE*$I38&lt;V$17,XARXI+caera*(t-DWAVE*$I38),IF(AND(t-DWAVE*$I38&gt;V$17,(t-DWAVE*$I38)&lt;V$17+W$17),V$8+V$21*(t-DWAVE*$I38-V$17),V$9+V$25*(t-DWAVE*$I38-V$17-W$17)))</f>
        <v>-19.299999999999997</v>
      </c>
      <c r="W38" s="5">
        <f>IF(t-DWAVE*$I38&lt;V$17,W$7,IF(AND(t-DWAVE*$I38&gt;V$17,t-DWAVE*$I38&lt;V$17+W$17),W$8+W$21*(t-DWAVE*$I38-V$17),W$9+W$25*(t-DWAVE*$I38-(V$17+W$17))))</f>
        <v>3</v>
      </c>
      <c r="X38" s="5">
        <f>IF(t-DWAVE*$I38&lt;X$17,XARXI+caera*(t-DWAVE*$I38),IF(AND(t-DWAVE*$I38&gt;X$17,(t-DWAVE*$I38)&lt;X$17+Y$17),X$8+X$21*(t-DWAVE*$I38-X$17),X$9+X$25*(t-DWAVE*$I38-X$17-Y$17)))</f>
        <v>-19.299999999999997</v>
      </c>
      <c r="Y38" s="5">
        <f>IF(t-DWAVE*$I38&lt;X$17,Y$7,IF(AND(t-DWAVE*$I38&gt;X$17,t-DWAVE*$I38&lt;X$17+Y$17),Y$8+Y$21*(t-DWAVE*$I38-X$17),Y$9+Y$25*(t-DWAVE*$I38-(X$17+Y$17))))</f>
        <v>2</v>
      </c>
      <c r="Z38" s="5">
        <f>IF(t-DWAVE*$I38&lt;Z$17,XARXI+caera*(t-DWAVE*$I38),IF(AND(t-DWAVE*$I38&gt;Z$17,(t-DWAVE*$I38)&lt;Z$17+AA$17),Z$8+Z$21*(t-DWAVE*$I38-Z$17),Z$9+Z$25*(t-DWAVE*$I38-Z$17-AA$17)))</f>
        <v>-19.299999999999997</v>
      </c>
      <c r="AA38" s="5">
        <f>IF(t-DWAVE*$I38&lt;Z$17,AA$7,IF(AND(t-DWAVE*$I38&gt;Z$17,t-DWAVE*$I38&lt;Z$17+AA$17),AA$8+AA$21*(t-DWAVE*$I38-Z$17),AA$9+AA$25*(t-DWAVE*$I38-(Z$17+AA$17))))</f>
        <v>1</v>
      </c>
      <c r="AM38">
        <f t="shared" si="5"/>
        <v>30</v>
      </c>
      <c r="AN38">
        <f t="shared" si="2"/>
        <v>-7</v>
      </c>
      <c r="AO38">
        <f t="shared" si="3"/>
        <v>7.1414284285428504</v>
      </c>
      <c r="AP38">
        <f t="shared" si="4"/>
        <v>-7.1414284285428504</v>
      </c>
    </row>
    <row r="39" spans="7:42" x14ac:dyDescent="0.25">
      <c r="G39">
        <f>N28</f>
        <v>1.0623469025914307</v>
      </c>
      <c r="H39">
        <f>O28</f>
        <v>4.5529662131014437</v>
      </c>
      <c r="I39">
        <f>I38</f>
        <v>5</v>
      </c>
      <c r="J39" s="5">
        <f>IF(t-DWAVE*$I38&lt;J$18,XARXI+caera*(t-DWAVE*$I38),IF(AND(t-DWAVE*$I38&gt;J$18,t-DWAVE*$I38&lt;J$18+K$18),J$13+J$22*(t-DWAVE*$I38-J$18),J$14+J$26*(t-DWAVE*$I38-J$18-K$18)))</f>
        <v>-19.299999999999997</v>
      </c>
      <c r="K39" s="5">
        <f>IF(t-DWAVE*$I38&lt;J$18,K$12,IF(AND(t-DWAVE*$I38&gt;J$18,t-DWAVE*$I38&lt;J$18+K$18),K$13+K$22*(t-DWAVE*$I38-J$18),K$14+K$26*(t-DWAVE*$I38-(J$18+K$18))))</f>
        <v>-9</v>
      </c>
      <c r="L39" s="5">
        <f>IF(t-DWAVE*$I38&lt;L$18,XARXI+caera*(t-DWAVE*$I38),IF(AND(t-DWAVE*$I38&gt;L$18,t-DWAVE*$I38&lt;L$18+M$18),L$13+L$22*(t-DWAVE*$I38-L$18),L$14+L$26*(t-DWAVE*$I38-L$18-M$18)))</f>
        <v>-19.299999999999997</v>
      </c>
      <c r="M39" s="5">
        <f>IF(t-DWAVE*$I38&lt;L$18,M$12,IF(AND(t-DWAVE*$I38&gt;L$18,t-DWAVE*$I38&lt;L$18+M$18),M$13+M$22*(t-DWAVE*$I38-L$18),M$14+M$26*(t-DWAVE*$I38-(L$18+M$18))))</f>
        <v>-8</v>
      </c>
      <c r="N39" s="5">
        <f>IF(t-DWAVE*$I38&lt;N$18,XARXI+caera*(t-DWAVE*$I38),IF(AND(t-DWAVE*$I38&gt;N$18,t-DWAVE*$I38&lt;N$18+O$18),N$13+N$22*(t-DWAVE*$I38-N$18),N$14+N$26*(t-DWAVE*$I38-N$18-O$18)))</f>
        <v>-19.299999999999997</v>
      </c>
      <c r="O39" s="5">
        <f>IF(t-DWAVE*$I38&lt;N$18,O$12,IF(AND(t-DWAVE*$I38&gt;N$18,t-DWAVE*$I38&lt;N$18+O$18),O$13+O$22*(t-DWAVE*$I38-N$18),O$14+O$26*(t-DWAVE*$I38-(N$18+O$18))))</f>
        <v>-7</v>
      </c>
      <c r="P39" s="5">
        <f>IF(t-DWAVE*$I38&lt;P$18,XARXI+caera*(t-DWAVE*$I38),IF(AND(t-DWAVE*$I38&gt;P$18,t-DWAVE*$I38&lt;P$18+Q$18),P$13+P$22*(t-DWAVE*$I38-P$18),P$14+P$26*(t-DWAVE*$I38-P$18-Q$18)))</f>
        <v>-19.299999999999997</v>
      </c>
      <c r="Q39" s="5">
        <f>IF(t-DWAVE*$I38&lt;P$18,Q$12,IF(AND(t-DWAVE*$I38&gt;P$18,t-DWAVE*$I38&lt;P$18+Q$18),Q$13+Q$22*(t-DWAVE*$I38-P$18),Q$14+Q$26*(t-DWAVE*$I38-(P$18+Q$18))))</f>
        <v>-6</v>
      </c>
      <c r="R39" s="5">
        <f>IF(t-DWAVE*$I38&lt;R$18,XARXI+caera*(t-DWAVE*$I38),IF(AND(t-DWAVE*$I38&gt;R$18,t-DWAVE*$I38&lt;R$18+S$18),R$13+R$22*(t-DWAVE*$I38-R$18),R$14+R$26*(t-DWAVE*$I38-R$18-S$18)))</f>
        <v>-19.299999999999997</v>
      </c>
      <c r="S39" s="5">
        <f>IF(t-DWAVE*$I38&lt;R$18,S$12,IF(AND(t-DWAVE*$I38&gt;R$18,t-DWAVE*$I38&lt;R$18+S$18),S$13+S$22*(t-DWAVE*$I38-R$18),S$14+S$26*(t-DWAVE*$I38-(R$18+S$18))))</f>
        <v>-5</v>
      </c>
      <c r="T39" s="5">
        <f>IF(t-DWAVE*$I38&lt;T$18,XARXI+caera*(t-DWAVE*$I38),IF(AND(t-DWAVE*$I38&gt;T$18,t-DWAVE*$I38&lt;T$18+U$18),T$13+T$22*(t-DWAVE*$I38-T$18),T$14+T$26*(t-DWAVE*$I38-T$18-U$18)))</f>
        <v>-19.299999999999997</v>
      </c>
      <c r="U39" s="5">
        <f>IF(t-DWAVE*$I38&lt;T$18,U$12,IF(AND(t-DWAVE*$I38&gt;T$18,t-DWAVE*$I38&lt;T$18+U$18),U$13+U$22*(t-DWAVE*$I38-T$18),U$14+U$26*(t-DWAVE*$I38-(T$18+U$18))))</f>
        <v>-4</v>
      </c>
      <c r="V39" s="5">
        <f>IF(t-DWAVE*$I38&lt;V$18,XARXI+caera*(t-DWAVE*$I38),IF(AND(t-DWAVE*$I38&gt;V$18,t-DWAVE*$I38&lt;V$18+W$18),V$13+V$22*(t-DWAVE*$I38-V$18),V$14+V$26*(t-DWAVE*$I38-V$18-W$18)))</f>
        <v>-19.299999999999997</v>
      </c>
      <c r="W39" s="5">
        <f>IF(t-DWAVE*$I38&lt;V$18,W$12,IF(AND(t-DWAVE*$I38&gt;V$18,t-DWAVE*$I38&lt;V$18+W$18),W$13+W$22*(t-DWAVE*$I38-V$18),W$14+W$26*(t-DWAVE*$I38-(V$18+W$18))))</f>
        <v>-3</v>
      </c>
      <c r="X39" s="5">
        <f>IF(t-DWAVE*$I38&lt;X$18,XARXI+caera*(t-DWAVE*$I38),IF(AND(t-DWAVE*$I38&gt;X$18,t-DWAVE*$I38&lt;X$18+Y$18),X$13+X$22*(t-DWAVE*$I38-X$18),X$14+X$26*(t-DWAVE*$I38-X$18-Y$18)))</f>
        <v>-19.299999999999997</v>
      </c>
      <c r="Y39" s="5">
        <f>IF(t-DWAVE*$I38&lt;X$18,Y$12,IF(AND(t-DWAVE*$I38&gt;X$18,t-DWAVE*$I38&lt;X$18+Y$18),Y$13+Y$22*(t-DWAVE*$I38-X$18),Y$14+Y$26*(t-DWAVE*$I38-(X$18+Y$18))))</f>
        <v>-2</v>
      </c>
      <c r="Z39" s="5">
        <f>IF(t-DWAVE*$I38&lt;Z$18,XARXI+caera*(t-DWAVE*$I38),IF(AND(t-DWAVE*$I38&gt;Z$18,t-DWAVE*$I38&lt;Z$18+AA$18),Z$13+Z$22*(t-DWAVE*$I38-Z$18),Z$14+Z$26*(t-DWAVE*$I38-Z$18-AA$18)))</f>
        <v>-19.299999999999997</v>
      </c>
      <c r="AA39" s="5">
        <f>IF(t-DWAVE*$I38&lt;Z$18,AA$12,IF(AND(t-DWAVE*$I38&gt;Z$18,t-DWAVE*$I38&lt;Z$18+AA$18),AA$13+AA$22*(t-DWAVE*$I38-Z$18),AA$14+AA$26*(t-DWAVE*$I38-(Z$18+AA$18))))</f>
        <v>-1</v>
      </c>
      <c r="AM39">
        <f t="shared" si="5"/>
        <v>31</v>
      </c>
      <c r="AN39">
        <f t="shared" si="2"/>
        <v>-6.9</v>
      </c>
      <c r="AO39">
        <f t="shared" si="3"/>
        <v>7.2380936716790281</v>
      </c>
      <c r="AP39">
        <f t="shared" si="4"/>
        <v>-7.2380936716790281</v>
      </c>
    </row>
    <row r="40" spans="7:42" x14ac:dyDescent="0.25">
      <c r="G40">
        <f>N29</f>
        <v>1.0623469025914307</v>
      </c>
      <c r="H40">
        <f>O29</f>
        <v>-4.5529662131014437</v>
      </c>
      <c r="I40">
        <f>I38+1</f>
        <v>6</v>
      </c>
      <c r="J40" s="5">
        <f>IF(t-DWAVE*$I40&lt;J$17,XARXI+caera*(t-DWAVE*$I40),IF(AND(t-DWAVE*$I40&gt;J$17,(t-DWAVE*$I40)&lt;J$17+K$17),J$8+J$21*(t-DWAVE*$I40-J$17),J$9+J$25*(t-DWAVE*$I40-J$17-K$17)))</f>
        <v>-24.299999999999997</v>
      </c>
      <c r="K40" s="5">
        <f>IF(t-DWAVE*$I40&lt;J$17,K$7,IF(AND(t-DWAVE*$I40&gt;J$17,t-DWAVE*$I40&lt;J$17+K$17),K$8+K$21*(t-DWAVE*$I40-J$17),K$9+K$25*(t-DWAVE*$I40-(J$17+K$17))))</f>
        <v>9</v>
      </c>
      <c r="L40" s="5">
        <f>IF(t-DWAVE*$I40&lt;L$17,XARXI+caera*(t-DWAVE*$I40),IF(AND(t-DWAVE*$I40&gt;L$17,(t-DWAVE*$I40)&lt;L$17+M$17),L$8+L$21*(t-DWAVE*$I40-L$17),L$9+L$25*(t-DWAVE*$I40-L$17-M$17)))</f>
        <v>-24.299999999999997</v>
      </c>
      <c r="M40" s="5">
        <f>IF(t-DWAVE*$I40&lt;L$17,M$7,IF(AND(t-DWAVE*$I40&gt;L$17,t-DWAVE*$I40&lt;L$17+M$17),M$8+M$21*(t-DWAVE*$I40-L$17),M$9+M$25*(t-DWAVE*$I40-(L$17+M$17))))</f>
        <v>8</v>
      </c>
      <c r="N40" s="5">
        <f>IF(t-DWAVE*$I40&lt;N$17,XARXI+caera*(t-DWAVE*$I40),IF(AND(t-DWAVE*$I40&gt;N$17,(t-DWAVE*$I40)&lt;N$17+O$17),N$8+N$21*(t-DWAVE*$I40-N$17),N$9+N$25*(t-DWAVE*$I40-N$17-O$17)))</f>
        <v>-24.299999999999997</v>
      </c>
      <c r="O40" s="5">
        <f>IF(t-DWAVE*$I40&lt;N$17,O$7,IF(AND(t-DWAVE*$I40&gt;N$17,t-DWAVE*$I40&lt;N$17+O$17),O$8+O$21*(t-DWAVE*$I40-N$17),O$9+O$25*(t-DWAVE*$I40-(N$17+O$17))))</f>
        <v>7</v>
      </c>
      <c r="P40" s="5">
        <f>IF(t-DWAVE*$I40&lt;P$17,XARXI+caera*(t-DWAVE*$I40),IF(AND(t-DWAVE*$I40&gt;P$17,(t-DWAVE*$I40)&lt;P$17+Q$17),P$8+P$21*(t-DWAVE*$I40-P$17),P$9+P$25*(t-DWAVE*$I40-P$17-Q$17)))</f>
        <v>-24.299999999999997</v>
      </c>
      <c r="Q40" s="5">
        <f>IF(t-DWAVE*$I40&lt;P$17,Q$7,IF(AND(t-DWAVE*$I40&gt;P$17,t-DWAVE*$I40&lt;P$17+Q$17),Q$8+Q$21*(t-DWAVE*$I40-P$17),Q$9+Q$25*(t-DWAVE*$I40-(P$17+Q$17))))</f>
        <v>6</v>
      </c>
      <c r="R40" s="5">
        <f>IF(t-DWAVE*$I40&lt;R$17,XARXI+caera*(t-DWAVE*$I40),IF(AND(t-DWAVE*$I40&gt;R$17,(t-DWAVE*$I40)&lt;R$17+S$17),R$8+R$21*(t-DWAVE*$I40-R$17),R$9+R$25*(t-DWAVE*$I40-R$17-S$17)))</f>
        <v>-24.299999999999997</v>
      </c>
      <c r="S40" s="5">
        <f>IF(t-DWAVE*$I40&lt;R$17,S$7,IF(AND(t-DWAVE*$I40&gt;R$17,t-DWAVE*$I40&lt;R$17+S$17),S$8+S$21*(t-DWAVE*$I40-R$17),S$9+S$25*(t-DWAVE*$I40-(R$17+S$17))))</f>
        <v>5</v>
      </c>
      <c r="T40" s="5">
        <f>IF(t-DWAVE*$I40&lt;T$17,XARXI+caera*(t-DWAVE*$I40),IF(AND(t-DWAVE*$I40&gt;T$17,(t-DWAVE*$I40)&lt;T$17+U$17),T$8+T$21*(t-DWAVE*$I40-T$17),T$9+T$25*(t-DWAVE*$I40-T$17-U$17)))</f>
        <v>-24.299999999999997</v>
      </c>
      <c r="U40" s="5">
        <f>IF(t-DWAVE*$I40&lt;T$17,U$7,IF(AND(t-DWAVE*$I40&gt;T$17,t-DWAVE*$I40&lt;T$17+U$17),U$8+U$21*(t-DWAVE*$I40-T$17),U$9+U$25*(t-DWAVE*$I40-(T$17+U$17))))</f>
        <v>4</v>
      </c>
      <c r="V40" s="5">
        <f>IF(t-DWAVE*$I40&lt;V$17,XARXI+caera*(t-DWAVE*$I40),IF(AND(t-DWAVE*$I40&gt;V$17,(t-DWAVE*$I40)&lt;V$17+W$17),V$8+V$21*(t-DWAVE*$I40-V$17),V$9+V$25*(t-DWAVE*$I40-V$17-W$17)))</f>
        <v>-24.299999999999997</v>
      </c>
      <c r="W40" s="5">
        <f>IF(t-DWAVE*$I40&lt;V$17,W$7,IF(AND(t-DWAVE*$I40&gt;V$17,t-DWAVE*$I40&lt;V$17+W$17),W$8+W$21*(t-DWAVE*$I40-V$17),W$9+W$25*(t-DWAVE*$I40-(V$17+W$17))))</f>
        <v>3</v>
      </c>
      <c r="X40" s="5">
        <f>IF(t-DWAVE*$I40&lt;X$17,XARXI+caera*(t-DWAVE*$I40),IF(AND(t-DWAVE*$I40&gt;X$17,(t-DWAVE*$I40)&lt;X$17+Y$17),X$8+X$21*(t-DWAVE*$I40-X$17),X$9+X$25*(t-DWAVE*$I40-X$17-Y$17)))</f>
        <v>-24.299999999999997</v>
      </c>
      <c r="Y40" s="5">
        <f>IF(t-DWAVE*$I40&lt;X$17,Y$7,IF(AND(t-DWAVE*$I40&gt;X$17,t-DWAVE*$I40&lt;X$17+Y$17),Y$8+Y$21*(t-DWAVE*$I40-X$17),Y$9+Y$25*(t-DWAVE*$I40-(X$17+Y$17))))</f>
        <v>2</v>
      </c>
      <c r="Z40" s="5">
        <f>IF(t-DWAVE*$I40&lt;Z$17,XARXI+caera*(t-DWAVE*$I40),IF(AND(t-DWAVE*$I40&gt;Z$17,(t-DWAVE*$I40)&lt;Z$17+AA$17),Z$8+Z$21*(t-DWAVE*$I40-Z$17),Z$9+Z$25*(t-DWAVE*$I40-Z$17-AA$17)))</f>
        <v>-24.299999999999997</v>
      </c>
      <c r="AA40" s="5">
        <f>IF(t-DWAVE*$I40&lt;Z$17,AA$7,IF(AND(t-DWAVE*$I40&gt;Z$17,t-DWAVE*$I40&lt;Z$17+AA$17),AA$8+AA$21*(t-DWAVE*$I40-Z$17),AA$9+AA$25*(t-DWAVE*$I40-(Z$17+AA$17))))</f>
        <v>1</v>
      </c>
      <c r="AM40">
        <f t="shared" si="5"/>
        <v>32</v>
      </c>
      <c r="AN40">
        <f t="shared" si="2"/>
        <v>-6.8</v>
      </c>
      <c r="AO40">
        <f t="shared" si="3"/>
        <v>7.3321211119293448</v>
      </c>
      <c r="AP40">
        <f t="shared" si="4"/>
        <v>-7.3321211119293448</v>
      </c>
    </row>
    <row r="41" spans="7:42" x14ac:dyDescent="0.25">
      <c r="G41">
        <f>P28</f>
        <v>0.888670615562134</v>
      </c>
      <c r="H41">
        <f>Q28</f>
        <v>3.9001637049950655</v>
      </c>
      <c r="I41">
        <f>I40</f>
        <v>6</v>
      </c>
      <c r="J41" s="5">
        <f>IF(t-DWAVE*$I40&lt;J$18,XARXI+caera*(t-DWAVE*$I40),IF(AND(t-DWAVE*$I40&gt;J$18,t-DWAVE*$I40&lt;J$18+K$18),J$13+J$22*(t-DWAVE*$I40-J$18),J$14+J$26*(t-DWAVE*$I40-J$18-K$18)))</f>
        <v>-24.299999999999997</v>
      </c>
      <c r="K41" s="5">
        <f>IF(t-DWAVE*$I40&lt;J$18,K$12,IF(AND(t-DWAVE*$I40&gt;J$18,t-DWAVE*$I40&lt;J$18+K$18),K$13+K$22*(t-DWAVE*$I40-J$18),K$14+K$26*(t-DWAVE*$I40-(J$18+K$18))))</f>
        <v>-9</v>
      </c>
      <c r="L41" s="5">
        <f>IF(t-DWAVE*$I40&lt;L$18,XARXI+caera*(t-DWAVE*$I40),IF(AND(t-DWAVE*$I40&gt;L$18,t-DWAVE*$I40&lt;L$18+M$18),L$13+L$22*(t-DWAVE*$I40-L$18),L$14+L$26*(t-DWAVE*$I40-L$18-M$18)))</f>
        <v>-24.299999999999997</v>
      </c>
      <c r="M41" s="5">
        <f>IF(t-DWAVE*$I40&lt;L$18,M$12,IF(AND(t-DWAVE*$I40&gt;L$18,t-DWAVE*$I40&lt;L$18+M$18),M$13+M$22*(t-DWAVE*$I40-L$18),M$14+M$26*(t-DWAVE*$I40-(L$18+M$18))))</f>
        <v>-8</v>
      </c>
      <c r="N41" s="5">
        <f>IF(t-DWAVE*$I40&lt;N$18,XARXI+caera*(t-DWAVE*$I40),IF(AND(t-DWAVE*$I40&gt;N$18,t-DWAVE*$I40&lt;N$18+O$18),N$13+N$22*(t-DWAVE*$I40-N$18),N$14+N$26*(t-DWAVE*$I40-N$18-O$18)))</f>
        <v>-24.299999999999997</v>
      </c>
      <c r="O41" s="5">
        <f>IF(t-DWAVE*$I40&lt;N$18,O$12,IF(AND(t-DWAVE*$I40&gt;N$18,t-DWAVE*$I40&lt;N$18+O$18),O$13+O$22*(t-DWAVE*$I40-N$18),O$14+O$26*(t-DWAVE*$I40-(N$18+O$18))))</f>
        <v>-7</v>
      </c>
      <c r="P41" s="5">
        <f>IF(t-DWAVE*$I40&lt;P$18,XARXI+caera*(t-DWAVE*$I40),IF(AND(t-DWAVE*$I40&gt;P$18,t-DWAVE*$I40&lt;P$18+Q$18),P$13+P$22*(t-DWAVE*$I40-P$18),P$14+P$26*(t-DWAVE*$I40-P$18-Q$18)))</f>
        <v>-24.299999999999997</v>
      </c>
      <c r="Q41" s="5">
        <f>IF(t-DWAVE*$I40&lt;P$18,Q$12,IF(AND(t-DWAVE*$I40&gt;P$18,t-DWAVE*$I40&lt;P$18+Q$18),Q$13+Q$22*(t-DWAVE*$I40-P$18),Q$14+Q$26*(t-DWAVE*$I40-(P$18+Q$18))))</f>
        <v>-6</v>
      </c>
      <c r="R41" s="5">
        <f>IF(t-DWAVE*$I40&lt;R$18,XARXI+caera*(t-DWAVE*$I40),IF(AND(t-DWAVE*$I40&gt;R$18,t-DWAVE*$I40&lt;R$18+S$18),R$13+R$22*(t-DWAVE*$I40-R$18),R$14+R$26*(t-DWAVE*$I40-R$18-S$18)))</f>
        <v>-24.299999999999997</v>
      </c>
      <c r="S41" s="5">
        <f>IF(t-DWAVE*$I40&lt;R$18,S$12,IF(AND(t-DWAVE*$I40&gt;R$18,t-DWAVE*$I40&lt;R$18+S$18),S$13+S$22*(t-DWAVE*$I40-R$18),S$14+S$26*(t-DWAVE*$I40-(R$18+S$18))))</f>
        <v>-5</v>
      </c>
      <c r="T41" s="5">
        <f>IF(t-DWAVE*$I40&lt;T$18,XARXI+caera*(t-DWAVE*$I40),IF(AND(t-DWAVE*$I40&gt;T$18,t-DWAVE*$I40&lt;T$18+U$18),T$13+T$22*(t-DWAVE*$I40-T$18),T$14+T$26*(t-DWAVE*$I40-T$18-U$18)))</f>
        <v>-24.299999999999997</v>
      </c>
      <c r="U41" s="5">
        <f>IF(t-DWAVE*$I40&lt;T$18,U$12,IF(AND(t-DWAVE*$I40&gt;T$18,t-DWAVE*$I40&lt;T$18+U$18),U$13+U$22*(t-DWAVE*$I40-T$18),U$14+U$26*(t-DWAVE*$I40-(T$18+U$18))))</f>
        <v>-4</v>
      </c>
      <c r="V41" s="5">
        <f>IF(t-DWAVE*$I40&lt;V$18,XARXI+caera*(t-DWAVE*$I40),IF(AND(t-DWAVE*$I40&gt;V$18,t-DWAVE*$I40&lt;V$18+W$18),V$13+V$22*(t-DWAVE*$I40-V$18),V$14+V$26*(t-DWAVE*$I40-V$18-W$18)))</f>
        <v>-24.299999999999997</v>
      </c>
      <c r="W41" s="5">
        <f>IF(t-DWAVE*$I40&lt;V$18,W$12,IF(AND(t-DWAVE*$I40&gt;V$18,t-DWAVE*$I40&lt;V$18+W$18),W$13+W$22*(t-DWAVE*$I40-V$18),W$14+W$26*(t-DWAVE*$I40-(V$18+W$18))))</f>
        <v>-3</v>
      </c>
      <c r="X41" s="5">
        <f>IF(t-DWAVE*$I40&lt;X$18,XARXI+caera*(t-DWAVE*$I40),IF(AND(t-DWAVE*$I40&gt;X$18,t-DWAVE*$I40&lt;X$18+Y$18),X$13+X$22*(t-DWAVE*$I40-X$18),X$14+X$26*(t-DWAVE*$I40-X$18-Y$18)))</f>
        <v>-24.299999999999997</v>
      </c>
      <c r="Y41" s="5">
        <f>IF(t-DWAVE*$I40&lt;X$18,Y$12,IF(AND(t-DWAVE*$I40&gt;X$18,t-DWAVE*$I40&lt;X$18+Y$18),Y$13+Y$22*(t-DWAVE*$I40-X$18),Y$14+Y$26*(t-DWAVE*$I40-(X$18+Y$18))))</f>
        <v>-2</v>
      </c>
      <c r="Z41" s="5">
        <f>IF(t-DWAVE*$I40&lt;Z$18,XARXI+caera*(t-DWAVE*$I40),IF(AND(t-DWAVE*$I40&gt;Z$18,t-DWAVE*$I40&lt;Z$18+AA$18),Z$13+Z$22*(t-DWAVE*$I40-Z$18),Z$14+Z$26*(t-DWAVE*$I40-Z$18-AA$18)))</f>
        <v>-24.299999999999997</v>
      </c>
      <c r="AA41" s="5">
        <f>IF(t-DWAVE*$I40&lt;Z$18,AA$12,IF(AND(t-DWAVE*$I40&gt;Z$18,t-DWAVE*$I40&lt;Z$18+AA$18),AA$13+AA$22*(t-DWAVE*$I40-Z$18),AA$14+AA$26*(t-DWAVE*$I40-(Z$18+AA$18))))</f>
        <v>-1</v>
      </c>
      <c r="AM41">
        <f t="shared" ref="AM41:AM74" si="6">AM40+1</f>
        <v>33</v>
      </c>
      <c r="AN41">
        <f t="shared" si="2"/>
        <v>-6.6999999999999993</v>
      </c>
      <c r="AO41">
        <f t="shared" si="3"/>
        <v>7.4236109811869859</v>
      </c>
      <c r="AP41">
        <f t="shared" si="4"/>
        <v>-7.4236109811869859</v>
      </c>
    </row>
    <row r="42" spans="7:42" x14ac:dyDescent="0.25">
      <c r="G42">
        <f>P29</f>
        <v>0.888670615562134</v>
      </c>
      <c r="H42">
        <f>Q29</f>
        <v>-3.9001637049950655</v>
      </c>
      <c r="I42">
        <f>I40+1</f>
        <v>7</v>
      </c>
      <c r="J42" s="5">
        <f>IF(t-DWAVE*$I42&lt;J$17,XARXI+caera*(t-DWAVE*$I42),IF(AND(t-DWAVE*$I42&gt;J$17,(t-DWAVE*$I42)&lt;J$17+K$17),J$8+J$21*(t-DWAVE*$I42-J$17),J$9+J$25*(t-DWAVE*$I42-J$17-K$17)))</f>
        <v>-29.299999999999997</v>
      </c>
      <c r="K42" s="5">
        <f>IF(t-DWAVE*$I42&lt;J$17,K$7,IF(AND(t-DWAVE*$I42&gt;J$17,t-DWAVE*$I42&lt;J$17+K$17),K$8+K$21*(t-DWAVE*$I42-J$17),K$9+K$25*(t-DWAVE*$I42-(J$17+K$17))))</f>
        <v>9</v>
      </c>
      <c r="L42" s="5">
        <f>IF(t-DWAVE*$I42&lt;L$17,XARXI+caera*(t-DWAVE*$I42),IF(AND(t-DWAVE*$I42&gt;L$17,(t-DWAVE*$I42)&lt;L$17+M$17),L$8+L$21*(t-DWAVE*$I42-L$17),L$9+L$25*(t-DWAVE*$I42-L$17-M$17)))</f>
        <v>-29.299999999999997</v>
      </c>
      <c r="M42" s="5">
        <f>IF(t-DWAVE*$I42&lt;L$17,M$7,IF(AND(t-DWAVE*$I42&gt;L$17,t-DWAVE*$I42&lt;L$17+M$17),M$8+M$21*(t-DWAVE*$I42-L$17),M$9+M$25*(t-DWAVE*$I42-(L$17+M$17))))</f>
        <v>8</v>
      </c>
      <c r="N42" s="5">
        <f>IF(t-DWAVE*$I42&lt;N$17,XARXI+caera*(t-DWAVE*$I42),IF(AND(t-DWAVE*$I42&gt;N$17,(t-DWAVE*$I42)&lt;N$17+O$17),N$8+N$21*(t-DWAVE*$I42-N$17),N$9+N$25*(t-DWAVE*$I42-N$17-O$17)))</f>
        <v>-29.299999999999997</v>
      </c>
      <c r="O42" s="5">
        <f>IF(t-DWAVE*$I42&lt;N$17,O$7,IF(AND(t-DWAVE*$I42&gt;N$17,t-DWAVE*$I42&lt;N$17+O$17),O$8+O$21*(t-DWAVE*$I42-N$17),O$9+O$25*(t-DWAVE*$I42-(N$17+O$17))))</f>
        <v>7</v>
      </c>
      <c r="P42" s="5">
        <f>IF(t-DWAVE*$I42&lt;P$17,XARXI+caera*(t-DWAVE*$I42),IF(AND(t-DWAVE*$I42&gt;P$17,(t-DWAVE*$I42)&lt;P$17+Q$17),P$8+P$21*(t-DWAVE*$I42-P$17),P$9+P$25*(t-DWAVE*$I42-P$17-Q$17)))</f>
        <v>-29.299999999999997</v>
      </c>
      <c r="Q42" s="5">
        <f>IF(t-DWAVE*$I42&lt;P$17,Q$7,IF(AND(t-DWAVE*$I42&gt;P$17,t-DWAVE*$I42&lt;P$17+Q$17),Q$8+Q$21*(t-DWAVE*$I42-P$17),Q$9+Q$25*(t-DWAVE*$I42-(P$17+Q$17))))</f>
        <v>6</v>
      </c>
      <c r="R42" s="5">
        <f>IF(t-DWAVE*$I42&lt;R$17,XARXI+caera*(t-DWAVE*$I42),IF(AND(t-DWAVE*$I42&gt;R$17,(t-DWAVE*$I42)&lt;R$17+S$17),R$8+R$21*(t-DWAVE*$I42-R$17),R$9+R$25*(t-DWAVE*$I42-R$17-S$17)))</f>
        <v>-29.299999999999997</v>
      </c>
      <c r="S42" s="5">
        <f>IF(t-DWAVE*$I42&lt;R$17,S$7,IF(AND(t-DWAVE*$I42&gt;R$17,t-DWAVE*$I42&lt;R$17+S$17),S$8+S$21*(t-DWAVE*$I42-R$17),S$9+S$25*(t-DWAVE*$I42-(R$17+S$17))))</f>
        <v>5</v>
      </c>
      <c r="T42" s="5">
        <f>IF(t-DWAVE*$I42&lt;T$17,XARXI+caera*(t-DWAVE*$I42),IF(AND(t-DWAVE*$I42&gt;T$17,(t-DWAVE*$I42)&lt;T$17+U$17),T$8+T$21*(t-DWAVE*$I42-T$17),T$9+T$25*(t-DWAVE*$I42-T$17-U$17)))</f>
        <v>-29.299999999999997</v>
      </c>
      <c r="U42" s="5">
        <f>IF(t-DWAVE*$I42&lt;T$17,U$7,IF(AND(t-DWAVE*$I42&gt;T$17,t-DWAVE*$I42&lt;T$17+U$17),U$8+U$21*(t-DWAVE*$I42-T$17),U$9+U$25*(t-DWAVE*$I42-(T$17+U$17))))</f>
        <v>4</v>
      </c>
      <c r="V42" s="5">
        <f>IF(t-DWAVE*$I42&lt;V$17,XARXI+caera*(t-DWAVE*$I42),IF(AND(t-DWAVE*$I42&gt;V$17,(t-DWAVE*$I42)&lt;V$17+W$17),V$8+V$21*(t-DWAVE*$I42-V$17),V$9+V$25*(t-DWAVE*$I42-V$17-W$17)))</f>
        <v>-29.299999999999997</v>
      </c>
      <c r="W42" s="5">
        <f>IF(t-DWAVE*$I42&lt;V$17,W$7,IF(AND(t-DWAVE*$I42&gt;V$17,t-DWAVE*$I42&lt;V$17+W$17),W$8+W$21*(t-DWAVE*$I42-V$17),W$9+W$25*(t-DWAVE*$I42-(V$17+W$17))))</f>
        <v>3</v>
      </c>
      <c r="X42" s="5">
        <f>IF(t-DWAVE*$I42&lt;X$17,XARXI+caera*(t-DWAVE*$I42),IF(AND(t-DWAVE*$I42&gt;X$17,(t-DWAVE*$I42)&lt;X$17+Y$17),X$8+X$21*(t-DWAVE*$I42-X$17),X$9+X$25*(t-DWAVE*$I42-X$17-Y$17)))</f>
        <v>-29.299999999999997</v>
      </c>
      <c r="Y42" s="5">
        <f>IF(t-DWAVE*$I42&lt;X$17,Y$7,IF(AND(t-DWAVE*$I42&gt;X$17,t-DWAVE*$I42&lt;X$17+Y$17),Y$8+Y$21*(t-DWAVE*$I42-X$17),Y$9+Y$25*(t-DWAVE*$I42-(X$17+Y$17))))</f>
        <v>2</v>
      </c>
      <c r="Z42" s="5">
        <f>IF(t-DWAVE*$I42&lt;Z$17,XARXI+caera*(t-DWAVE*$I42),IF(AND(t-DWAVE*$I42&gt;Z$17,(t-DWAVE*$I42)&lt;Z$17+AA$17),Z$8+Z$21*(t-DWAVE*$I42-Z$17),Z$9+Z$25*(t-DWAVE*$I42-Z$17-AA$17)))</f>
        <v>-29.299999999999997</v>
      </c>
      <c r="AA42" s="5">
        <f>IF(t-DWAVE*$I42&lt;Z$17,AA$7,IF(AND(t-DWAVE*$I42&gt;Z$17,t-DWAVE*$I42&lt;Z$17+AA$17),AA$8+AA$21*(t-DWAVE*$I42-Z$17),AA$9+AA$25*(t-DWAVE*$I42-(Z$17+AA$17))))</f>
        <v>1</v>
      </c>
      <c r="AM42">
        <f t="shared" si="6"/>
        <v>34</v>
      </c>
      <c r="AN42">
        <f t="shared" si="2"/>
        <v>-6.6</v>
      </c>
      <c r="AO42">
        <f t="shared" si="3"/>
        <v>7.5126559883971797</v>
      </c>
      <c r="AP42">
        <f t="shared" si="4"/>
        <v>-7.5126559883971797</v>
      </c>
    </row>
    <row r="43" spans="7:42" x14ac:dyDescent="0.25">
      <c r="G43">
        <f>R28</f>
        <v>0.75206195957400013</v>
      </c>
      <c r="H43">
        <f>S28</f>
        <v>3.2506397293619478</v>
      </c>
      <c r="I43">
        <f>I42</f>
        <v>7</v>
      </c>
      <c r="J43" s="5">
        <f>IF(t-DWAVE*$I42&lt;J$18,XARXI+caera*(t-DWAVE*$I42),IF(AND(t-DWAVE*$I42&gt;J$18,t-DWAVE*$I42&lt;J$18+K$18),J$13+J$22*(t-DWAVE*$I42-J$18),J$14+J$26*(t-DWAVE*$I42-J$18-K$18)))</f>
        <v>-29.299999999999997</v>
      </c>
      <c r="K43" s="5">
        <f>IF(t-DWAVE*$I42&lt;J$18,K$12,IF(AND(t-DWAVE*$I42&gt;J$18,t-DWAVE*$I42&lt;J$18+K$18),K$13+K$22*(t-DWAVE*$I42-J$18),K$14+K$26*(t-DWAVE*$I42-(J$18+K$18))))</f>
        <v>-9</v>
      </c>
      <c r="L43" s="5">
        <f>IF(t-DWAVE*$I42&lt;L$18,XARXI+caera*(t-DWAVE*$I42),IF(AND(t-DWAVE*$I42&gt;L$18,t-DWAVE*$I42&lt;L$18+M$18),L$13+L$22*(t-DWAVE*$I42-L$18),L$14+L$26*(t-DWAVE*$I42-L$18-M$18)))</f>
        <v>-29.299999999999997</v>
      </c>
      <c r="M43" s="5">
        <f>IF(t-DWAVE*$I42&lt;L$18,M$12,IF(AND(t-DWAVE*$I42&gt;L$18,t-DWAVE*$I42&lt;L$18+M$18),M$13+M$22*(t-DWAVE*$I42-L$18),M$14+M$26*(t-DWAVE*$I42-(L$18+M$18))))</f>
        <v>-8</v>
      </c>
      <c r="N43" s="5">
        <f>IF(t-DWAVE*$I42&lt;N$18,XARXI+caera*(t-DWAVE*$I42),IF(AND(t-DWAVE*$I42&gt;N$18,t-DWAVE*$I42&lt;N$18+O$18),N$13+N$22*(t-DWAVE*$I42-N$18),N$14+N$26*(t-DWAVE*$I42-N$18-O$18)))</f>
        <v>-29.299999999999997</v>
      </c>
      <c r="O43" s="5">
        <f>IF(t-DWAVE*$I42&lt;N$18,O$12,IF(AND(t-DWAVE*$I42&gt;N$18,t-DWAVE*$I42&lt;N$18+O$18),O$13+O$22*(t-DWAVE*$I42-N$18),O$14+O$26*(t-DWAVE*$I42-(N$18+O$18))))</f>
        <v>-7</v>
      </c>
      <c r="P43" s="5">
        <f>IF(t-DWAVE*$I42&lt;P$18,XARXI+caera*(t-DWAVE*$I42),IF(AND(t-DWAVE*$I42&gt;P$18,t-DWAVE*$I42&lt;P$18+Q$18),P$13+P$22*(t-DWAVE*$I42-P$18),P$14+P$26*(t-DWAVE*$I42-P$18-Q$18)))</f>
        <v>-29.299999999999997</v>
      </c>
      <c r="Q43" s="5">
        <f>IF(t-DWAVE*$I42&lt;P$18,Q$12,IF(AND(t-DWAVE*$I42&gt;P$18,t-DWAVE*$I42&lt;P$18+Q$18),Q$13+Q$22*(t-DWAVE*$I42-P$18),Q$14+Q$26*(t-DWAVE*$I42-(P$18+Q$18))))</f>
        <v>-6</v>
      </c>
      <c r="R43" s="5">
        <f>IF(t-DWAVE*$I42&lt;R$18,XARXI+caera*(t-DWAVE*$I42),IF(AND(t-DWAVE*$I42&gt;R$18,t-DWAVE*$I42&lt;R$18+S$18),R$13+R$22*(t-DWAVE*$I42-R$18),R$14+R$26*(t-DWAVE*$I42-R$18-S$18)))</f>
        <v>-29.299999999999997</v>
      </c>
      <c r="S43" s="5">
        <f>IF(t-DWAVE*$I42&lt;R$18,S$12,IF(AND(t-DWAVE*$I42&gt;R$18,t-DWAVE*$I42&lt;R$18+S$18),S$13+S$22*(t-DWAVE*$I42-R$18),S$14+S$26*(t-DWAVE*$I42-(R$18+S$18))))</f>
        <v>-5</v>
      </c>
      <c r="T43" s="5">
        <f>IF(t-DWAVE*$I42&lt;T$18,XARXI+caera*(t-DWAVE*$I42),IF(AND(t-DWAVE*$I42&gt;T$18,t-DWAVE*$I42&lt;T$18+U$18),T$13+T$22*(t-DWAVE*$I42-T$18),T$14+T$26*(t-DWAVE*$I42-T$18-U$18)))</f>
        <v>-29.299999999999997</v>
      </c>
      <c r="U43" s="5">
        <f>IF(t-DWAVE*$I42&lt;T$18,U$12,IF(AND(t-DWAVE*$I42&gt;T$18,t-DWAVE*$I42&lt;T$18+U$18),U$13+U$22*(t-DWAVE*$I42-T$18),U$14+U$26*(t-DWAVE*$I42-(T$18+U$18))))</f>
        <v>-4</v>
      </c>
      <c r="V43" s="5">
        <f>IF(t-DWAVE*$I42&lt;V$18,XARXI+caera*(t-DWAVE*$I42),IF(AND(t-DWAVE*$I42&gt;V$18,t-DWAVE*$I42&lt;V$18+W$18),V$13+V$22*(t-DWAVE*$I42-V$18),V$14+V$26*(t-DWAVE*$I42-V$18-W$18)))</f>
        <v>-29.299999999999997</v>
      </c>
      <c r="W43" s="5">
        <f>IF(t-DWAVE*$I42&lt;V$18,W$12,IF(AND(t-DWAVE*$I42&gt;V$18,t-DWAVE*$I42&lt;V$18+W$18),W$13+W$22*(t-DWAVE*$I42-V$18),W$14+W$26*(t-DWAVE*$I42-(V$18+W$18))))</f>
        <v>-3</v>
      </c>
      <c r="X43" s="5">
        <f>IF(t-DWAVE*$I42&lt;X$18,XARXI+caera*(t-DWAVE*$I42),IF(AND(t-DWAVE*$I42&gt;X$18,t-DWAVE*$I42&lt;X$18+Y$18),X$13+X$22*(t-DWAVE*$I42-X$18),X$14+X$26*(t-DWAVE*$I42-X$18-Y$18)))</f>
        <v>-29.299999999999997</v>
      </c>
      <c r="Y43" s="5">
        <f>IF(t-DWAVE*$I42&lt;X$18,Y$12,IF(AND(t-DWAVE*$I42&gt;X$18,t-DWAVE*$I42&lt;X$18+Y$18),Y$13+Y$22*(t-DWAVE*$I42-X$18),Y$14+Y$26*(t-DWAVE*$I42-(X$18+Y$18))))</f>
        <v>-2</v>
      </c>
      <c r="Z43" s="5">
        <f>IF(t-DWAVE*$I42&lt;Z$18,XARXI+caera*(t-DWAVE*$I42),IF(AND(t-DWAVE*$I42&gt;Z$18,t-DWAVE*$I42&lt;Z$18+AA$18),Z$13+Z$22*(t-DWAVE*$I42-Z$18),Z$14+Z$26*(t-DWAVE*$I42-Z$18-AA$18)))</f>
        <v>-29.299999999999997</v>
      </c>
      <c r="AA43" s="5">
        <f>IF(t-DWAVE*$I42&lt;Z$18,AA$12,IF(AND(t-DWAVE*$I42&gt;Z$18,t-DWAVE*$I42&lt;Z$18+AA$18),AA$13+AA$22*(t-DWAVE*$I42-Z$18),AA$14+AA$26*(t-DWAVE*$I42-(Z$18+AA$18))))</f>
        <v>-1</v>
      </c>
      <c r="AM43">
        <f t="shared" si="6"/>
        <v>35</v>
      </c>
      <c r="AN43">
        <f t="shared" si="2"/>
        <v>-6.5</v>
      </c>
      <c r="AO43">
        <f t="shared" si="3"/>
        <v>7.5993420767853319</v>
      </c>
      <c r="AP43">
        <f t="shared" si="4"/>
        <v>-7.5993420767853319</v>
      </c>
    </row>
    <row r="44" spans="7:42" x14ac:dyDescent="0.25">
      <c r="G44">
        <f>R29</f>
        <v>0.75206195957400013</v>
      </c>
      <c r="H44">
        <f>S29</f>
        <v>-3.2506397293619478</v>
      </c>
      <c r="I44">
        <f>I42+1</f>
        <v>8</v>
      </c>
      <c r="J44" s="5">
        <f>IF(t-DWAVE*$I44&lt;J$17,XARXI+caera*(t-DWAVE*$I44),IF(AND(t-DWAVE*$I44&gt;J$17,(t-DWAVE*$I44)&lt;J$17+K$17),J$8+J$21*(t-DWAVE*$I44-J$17),J$9+J$25*(t-DWAVE*$I44-J$17-K$17)))</f>
        <v>-34.299999999999997</v>
      </c>
      <c r="K44" s="5">
        <f>IF(t-DWAVE*$I44&lt;J$17,K$7,IF(AND(t-DWAVE*$I44&gt;J$17,t-DWAVE*$I44&lt;J$17+K$17),K$8+K$21*(t-DWAVE*$I44-J$17),K$9+K$25*(t-DWAVE*$I44-(J$17+K$17))))</f>
        <v>9</v>
      </c>
      <c r="L44" s="5">
        <f>IF(t-DWAVE*$I44&lt;L$17,XARXI+caera*(t-DWAVE*$I44),IF(AND(t-DWAVE*$I44&gt;L$17,(t-DWAVE*$I44)&lt;L$17+M$17),L$8+L$21*(t-DWAVE*$I44-L$17),L$9+L$25*(t-DWAVE*$I44-L$17-M$17)))</f>
        <v>-34.299999999999997</v>
      </c>
      <c r="M44" s="5">
        <f>IF(t-DWAVE*$I44&lt;L$17,M$7,IF(AND(t-DWAVE*$I44&gt;L$17,t-DWAVE*$I44&lt;L$17+M$17),M$8+M$21*(t-DWAVE*$I44-L$17),M$9+M$25*(t-DWAVE*$I44-(L$17+M$17))))</f>
        <v>8</v>
      </c>
      <c r="N44" s="5">
        <f>IF(t-DWAVE*$I44&lt;N$17,XARXI+caera*(t-DWAVE*$I44),IF(AND(t-DWAVE*$I44&gt;N$17,(t-DWAVE*$I44)&lt;N$17+O$17),N$8+N$21*(t-DWAVE*$I44-N$17),N$9+N$25*(t-DWAVE*$I44-N$17-O$17)))</f>
        <v>-34.299999999999997</v>
      </c>
      <c r="O44" s="5">
        <f>IF(t-DWAVE*$I44&lt;N$17,O$7,IF(AND(t-DWAVE*$I44&gt;N$17,t-DWAVE*$I44&lt;N$17+O$17),O$8+O$21*(t-DWAVE*$I44-N$17),O$9+O$25*(t-DWAVE*$I44-(N$17+O$17))))</f>
        <v>7</v>
      </c>
      <c r="P44" s="5">
        <f>IF(t-DWAVE*$I44&lt;P$17,XARXI+caera*(t-DWAVE*$I44),IF(AND(t-DWAVE*$I44&gt;P$17,(t-DWAVE*$I44)&lt;P$17+Q$17),P$8+P$21*(t-DWAVE*$I44-P$17),P$9+P$25*(t-DWAVE*$I44-P$17-Q$17)))</f>
        <v>-34.299999999999997</v>
      </c>
      <c r="Q44" s="5">
        <f>IF(t-DWAVE*$I44&lt;P$17,Q$7,IF(AND(t-DWAVE*$I44&gt;P$17,t-DWAVE*$I44&lt;P$17+Q$17),Q$8+Q$21*(t-DWAVE*$I44-P$17),Q$9+Q$25*(t-DWAVE*$I44-(P$17+Q$17))))</f>
        <v>6</v>
      </c>
      <c r="R44" s="5">
        <f>IF(t-DWAVE*$I44&lt;R$17,XARXI+caera*(t-DWAVE*$I44),IF(AND(t-DWAVE*$I44&gt;R$17,(t-DWAVE*$I44)&lt;R$17+S$17),R$8+R$21*(t-DWAVE*$I44-R$17),R$9+R$25*(t-DWAVE*$I44-R$17-S$17)))</f>
        <v>-34.299999999999997</v>
      </c>
      <c r="S44" s="5">
        <f>IF(t-DWAVE*$I44&lt;R$17,S$7,IF(AND(t-DWAVE*$I44&gt;R$17,t-DWAVE*$I44&lt;R$17+S$17),S$8+S$21*(t-DWAVE*$I44-R$17),S$9+S$25*(t-DWAVE*$I44-(R$17+S$17))))</f>
        <v>5</v>
      </c>
      <c r="T44" s="5">
        <f>IF(t-DWAVE*$I44&lt;T$17,XARXI+caera*(t-DWAVE*$I44),IF(AND(t-DWAVE*$I44&gt;T$17,(t-DWAVE*$I44)&lt;T$17+U$17),T$8+T$21*(t-DWAVE*$I44-T$17),T$9+T$25*(t-DWAVE*$I44-T$17-U$17)))</f>
        <v>-34.299999999999997</v>
      </c>
      <c r="U44" s="5">
        <f>IF(t-DWAVE*$I44&lt;T$17,U$7,IF(AND(t-DWAVE*$I44&gt;T$17,t-DWAVE*$I44&lt;T$17+U$17),U$8+U$21*(t-DWAVE*$I44-T$17),U$9+U$25*(t-DWAVE*$I44-(T$17+U$17))))</f>
        <v>4</v>
      </c>
      <c r="V44" s="5">
        <f>IF(t-DWAVE*$I44&lt;V$17,XARXI+caera*(t-DWAVE*$I44),IF(AND(t-DWAVE*$I44&gt;V$17,(t-DWAVE*$I44)&lt;V$17+W$17),V$8+V$21*(t-DWAVE*$I44-V$17),V$9+V$25*(t-DWAVE*$I44-V$17-W$17)))</f>
        <v>-34.299999999999997</v>
      </c>
      <c r="W44" s="5">
        <f>IF(t-DWAVE*$I44&lt;V$17,W$7,IF(AND(t-DWAVE*$I44&gt;V$17,t-DWAVE*$I44&lt;V$17+W$17),W$8+W$21*(t-DWAVE*$I44-V$17),W$9+W$25*(t-DWAVE*$I44-(V$17+W$17))))</f>
        <v>3</v>
      </c>
      <c r="X44" s="5">
        <f>IF(t-DWAVE*$I44&lt;X$17,XARXI+caera*(t-DWAVE*$I44),IF(AND(t-DWAVE*$I44&gt;X$17,(t-DWAVE*$I44)&lt;X$17+Y$17),X$8+X$21*(t-DWAVE*$I44-X$17),X$9+X$25*(t-DWAVE*$I44-X$17-Y$17)))</f>
        <v>-34.299999999999997</v>
      </c>
      <c r="Y44" s="5">
        <f>IF(t-DWAVE*$I44&lt;X$17,Y$7,IF(AND(t-DWAVE*$I44&gt;X$17,t-DWAVE*$I44&lt;X$17+Y$17),Y$8+Y$21*(t-DWAVE*$I44-X$17),Y$9+Y$25*(t-DWAVE*$I44-(X$17+Y$17))))</f>
        <v>2</v>
      </c>
      <c r="Z44" s="5">
        <f>IF(t-DWAVE*$I44&lt;Z$17,XARXI+caera*(t-DWAVE*$I44),IF(AND(t-DWAVE*$I44&gt;Z$17,(t-DWAVE*$I44)&lt;Z$17+AA$17),Z$8+Z$21*(t-DWAVE*$I44-Z$17),Z$9+Z$25*(t-DWAVE*$I44-Z$17-AA$17)))</f>
        <v>-34.299999999999997</v>
      </c>
      <c r="AA44" s="5">
        <f>IF(t-DWAVE*$I44&lt;Z$17,AA$7,IF(AND(t-DWAVE*$I44&gt;Z$17,t-DWAVE*$I44&lt;Z$17+AA$17),AA$8+AA$21*(t-DWAVE*$I44-Z$17),AA$9+AA$25*(t-DWAVE*$I44-(Z$17+AA$17))))</f>
        <v>1</v>
      </c>
      <c r="AM44">
        <f t="shared" si="6"/>
        <v>36</v>
      </c>
      <c r="AN44">
        <f t="shared" si="2"/>
        <v>-6.4</v>
      </c>
      <c r="AO44">
        <f t="shared" si="3"/>
        <v>7.6837490849194179</v>
      </c>
      <c r="AP44">
        <f t="shared" si="4"/>
        <v>-7.6837490849194179</v>
      </c>
    </row>
    <row r="45" spans="7:42" x14ac:dyDescent="0.25">
      <c r="G45">
        <f>T28</f>
        <v>0.64578619952935767</v>
      </c>
      <c r="H45">
        <f>U28</f>
        <v>2.6015708842971739</v>
      </c>
      <c r="I45">
        <f>I44</f>
        <v>8</v>
      </c>
      <c r="J45" s="5">
        <f>IF(t-DWAVE*$I44&lt;J$18,XARXI+caera*(t-DWAVE*$I44),IF(AND(t-DWAVE*$I44&gt;J$18,t-DWAVE*$I44&lt;J$18+K$18),J$13+J$22*(t-DWAVE*$I44-J$18),J$14+J$26*(t-DWAVE*$I44-J$18-K$18)))</f>
        <v>-34.299999999999997</v>
      </c>
      <c r="K45" s="5">
        <f>IF(t-DWAVE*$I44&lt;J$18,K$12,IF(AND(t-DWAVE*$I44&gt;J$18,t-DWAVE*$I44&lt;J$18+K$18),K$13+K$22*(t-DWAVE*$I44-J$18),K$14+K$26*(t-DWAVE*$I44-(J$18+K$18))))</f>
        <v>-9</v>
      </c>
      <c r="L45" s="5">
        <f>IF(t-DWAVE*$I44&lt;L$18,XARXI+caera*(t-DWAVE*$I44),IF(AND(t-DWAVE*$I44&gt;L$18,t-DWAVE*$I44&lt;L$18+M$18),L$13+L$22*(t-DWAVE*$I44-L$18),L$14+L$26*(t-DWAVE*$I44-L$18-M$18)))</f>
        <v>-34.299999999999997</v>
      </c>
      <c r="M45" s="5">
        <f>IF(t-DWAVE*$I44&lt;L$18,M$12,IF(AND(t-DWAVE*$I44&gt;L$18,t-DWAVE*$I44&lt;L$18+M$18),M$13+M$22*(t-DWAVE*$I44-L$18),M$14+M$26*(t-DWAVE*$I44-(L$18+M$18))))</f>
        <v>-8</v>
      </c>
      <c r="N45" s="5">
        <f>IF(t-DWAVE*$I44&lt;N$18,XARXI+caera*(t-DWAVE*$I44),IF(AND(t-DWAVE*$I44&gt;N$18,t-DWAVE*$I44&lt;N$18+O$18),N$13+N$22*(t-DWAVE*$I44-N$18),N$14+N$26*(t-DWAVE*$I44-N$18-O$18)))</f>
        <v>-34.299999999999997</v>
      </c>
      <c r="O45" s="5">
        <f>IF(t-DWAVE*$I44&lt;N$18,O$12,IF(AND(t-DWAVE*$I44&gt;N$18,t-DWAVE*$I44&lt;N$18+O$18),O$13+O$22*(t-DWAVE*$I44-N$18),O$14+O$26*(t-DWAVE*$I44-(N$18+O$18))))</f>
        <v>-7</v>
      </c>
      <c r="P45" s="5">
        <f>IF(t-DWAVE*$I44&lt;P$18,XARXI+caera*(t-DWAVE*$I44),IF(AND(t-DWAVE*$I44&gt;P$18,t-DWAVE*$I44&lt;P$18+Q$18),P$13+P$22*(t-DWAVE*$I44-P$18),P$14+P$26*(t-DWAVE*$I44-P$18-Q$18)))</f>
        <v>-34.299999999999997</v>
      </c>
      <c r="Q45" s="5">
        <f>IF(t-DWAVE*$I44&lt;P$18,Q$12,IF(AND(t-DWAVE*$I44&gt;P$18,t-DWAVE*$I44&lt;P$18+Q$18),Q$13+Q$22*(t-DWAVE*$I44-P$18),Q$14+Q$26*(t-DWAVE*$I44-(P$18+Q$18))))</f>
        <v>-6</v>
      </c>
      <c r="R45" s="5">
        <f>IF(t-DWAVE*$I44&lt;R$18,XARXI+caera*(t-DWAVE*$I44),IF(AND(t-DWAVE*$I44&gt;R$18,t-DWAVE*$I44&lt;R$18+S$18),R$13+R$22*(t-DWAVE*$I44-R$18),R$14+R$26*(t-DWAVE*$I44-R$18-S$18)))</f>
        <v>-34.299999999999997</v>
      </c>
      <c r="S45" s="5">
        <f>IF(t-DWAVE*$I44&lt;R$18,S$12,IF(AND(t-DWAVE*$I44&gt;R$18,t-DWAVE*$I44&lt;R$18+S$18),S$13+S$22*(t-DWAVE*$I44-R$18),S$14+S$26*(t-DWAVE*$I44-(R$18+S$18))))</f>
        <v>-5</v>
      </c>
      <c r="T45" s="5">
        <f>IF(t-DWAVE*$I44&lt;T$18,XARXI+caera*(t-DWAVE*$I44),IF(AND(t-DWAVE*$I44&gt;T$18,t-DWAVE*$I44&lt;T$18+U$18),T$13+T$22*(t-DWAVE*$I44-T$18),T$14+T$26*(t-DWAVE*$I44-T$18-U$18)))</f>
        <v>-34.299999999999997</v>
      </c>
      <c r="U45" s="5">
        <f>IF(t-DWAVE*$I44&lt;T$18,U$12,IF(AND(t-DWAVE*$I44&gt;T$18,t-DWAVE*$I44&lt;T$18+U$18),U$13+U$22*(t-DWAVE*$I44-T$18),U$14+U$26*(t-DWAVE*$I44-(T$18+U$18))))</f>
        <v>-4</v>
      </c>
      <c r="V45" s="5">
        <f>IF(t-DWAVE*$I44&lt;V$18,XARXI+caera*(t-DWAVE*$I44),IF(AND(t-DWAVE*$I44&gt;V$18,t-DWAVE*$I44&lt;V$18+W$18),V$13+V$22*(t-DWAVE*$I44-V$18),V$14+V$26*(t-DWAVE*$I44-V$18-W$18)))</f>
        <v>-34.299999999999997</v>
      </c>
      <c r="W45" s="5">
        <f>IF(t-DWAVE*$I44&lt;V$18,W$12,IF(AND(t-DWAVE*$I44&gt;V$18,t-DWAVE*$I44&lt;V$18+W$18),W$13+W$22*(t-DWAVE*$I44-V$18),W$14+W$26*(t-DWAVE*$I44-(V$18+W$18))))</f>
        <v>-3</v>
      </c>
      <c r="X45" s="5">
        <f>IF(t-DWAVE*$I44&lt;X$18,XARXI+caera*(t-DWAVE*$I44),IF(AND(t-DWAVE*$I44&gt;X$18,t-DWAVE*$I44&lt;X$18+Y$18),X$13+X$22*(t-DWAVE*$I44-X$18),X$14+X$26*(t-DWAVE*$I44-X$18-Y$18)))</f>
        <v>-34.299999999999997</v>
      </c>
      <c r="Y45" s="5">
        <f>IF(t-DWAVE*$I44&lt;X$18,Y$12,IF(AND(t-DWAVE*$I44&gt;X$18,t-DWAVE*$I44&lt;X$18+Y$18),Y$13+Y$22*(t-DWAVE*$I44-X$18),Y$14+Y$26*(t-DWAVE*$I44-(X$18+Y$18))))</f>
        <v>-2</v>
      </c>
      <c r="Z45" s="5">
        <f>IF(t-DWAVE*$I44&lt;Z$18,XARXI+caera*(t-DWAVE*$I44),IF(AND(t-DWAVE*$I44&gt;Z$18,t-DWAVE*$I44&lt;Z$18+AA$18),Z$13+Z$22*(t-DWAVE*$I44-Z$18),Z$14+Z$26*(t-DWAVE*$I44-Z$18-AA$18)))</f>
        <v>-34.299999999999997</v>
      </c>
      <c r="AA45" s="5">
        <f>IF(t-DWAVE*$I44&lt;Z$18,AA$12,IF(AND(t-DWAVE*$I44&gt;Z$18,t-DWAVE*$I44&lt;Z$18+AA$18),AA$13+AA$22*(t-DWAVE*$I44-Z$18),AA$14+AA$26*(t-DWAVE*$I44-(Z$18+AA$18))))</f>
        <v>-1</v>
      </c>
      <c r="AM45">
        <f t="shared" si="6"/>
        <v>37</v>
      </c>
      <c r="AN45">
        <f t="shared" si="2"/>
        <v>-6.3</v>
      </c>
      <c r="AO45">
        <f t="shared" si="3"/>
        <v>7.7659513261415691</v>
      </c>
      <c r="AP45">
        <f t="shared" si="4"/>
        <v>-7.7659513261415691</v>
      </c>
    </row>
    <row r="46" spans="7:42" x14ac:dyDescent="0.25">
      <c r="G46">
        <f>T29</f>
        <v>0.64578619952935767</v>
      </c>
      <c r="H46">
        <f>U29</f>
        <v>-2.6015708842971739</v>
      </c>
      <c r="I46">
        <f>I44+1</f>
        <v>9</v>
      </c>
      <c r="J46" s="5">
        <f>IF(t-DWAVE*$I46&lt;J$17,XARXI+caera*(t-DWAVE*$I46),IF(AND(t-DWAVE*$I46&gt;J$17,(t-DWAVE*$I46)&lt;J$17+K$17),J$8+J$21*(t-DWAVE*$I46-J$17),J$9+J$25*(t-DWAVE*$I46-J$17-K$17)))</f>
        <v>-39.299999999999997</v>
      </c>
      <c r="K46" s="5">
        <f>IF(t-DWAVE*$I46&lt;J$17,K$7,IF(AND(t-DWAVE*$I46&gt;J$17,t-DWAVE*$I46&lt;J$17+K$17),K$8+K$21*(t-DWAVE*$I46-J$17),K$9+K$25*(t-DWAVE*$I46-(J$17+K$17))))</f>
        <v>9</v>
      </c>
      <c r="L46" s="5">
        <f>IF(t-DWAVE*$I46&lt;L$17,XARXI+caera*(t-DWAVE*$I46),IF(AND(t-DWAVE*$I46&gt;L$17,(t-DWAVE*$I46)&lt;L$17+M$17),L$8+L$21*(t-DWAVE*$I46-L$17),L$9+L$25*(t-DWAVE*$I46-L$17-M$17)))</f>
        <v>-39.299999999999997</v>
      </c>
      <c r="M46" s="5">
        <f>IF(t-DWAVE*$I46&lt;L$17,M$7,IF(AND(t-DWAVE*$I46&gt;L$17,t-DWAVE*$I46&lt;L$17+M$17),M$8+M$21*(t-DWAVE*$I46-L$17),M$9+M$25*(t-DWAVE*$I46-(L$17+M$17))))</f>
        <v>8</v>
      </c>
      <c r="N46" s="5">
        <f>IF(t-DWAVE*$I46&lt;N$17,XARXI+caera*(t-DWAVE*$I46),IF(AND(t-DWAVE*$I46&gt;N$17,(t-DWAVE*$I46)&lt;N$17+O$17),N$8+N$21*(t-DWAVE*$I46-N$17),N$9+N$25*(t-DWAVE*$I46-N$17-O$17)))</f>
        <v>-39.299999999999997</v>
      </c>
      <c r="O46" s="5">
        <f>IF(t-DWAVE*$I46&lt;N$17,O$7,IF(AND(t-DWAVE*$I46&gt;N$17,t-DWAVE*$I46&lt;N$17+O$17),O$8+O$21*(t-DWAVE*$I46-N$17),O$9+O$25*(t-DWAVE*$I46-(N$17+O$17))))</f>
        <v>7</v>
      </c>
      <c r="P46" s="5">
        <f>IF(t-DWAVE*$I46&lt;P$17,XARXI+caera*(t-DWAVE*$I46),IF(AND(t-DWAVE*$I46&gt;P$17,(t-DWAVE*$I46)&lt;P$17+Q$17),P$8+P$21*(t-DWAVE*$I46-P$17),P$9+P$25*(t-DWAVE*$I46-P$17-Q$17)))</f>
        <v>-39.299999999999997</v>
      </c>
      <c r="Q46" s="5">
        <f>IF(t-DWAVE*$I46&lt;P$17,Q$7,IF(AND(t-DWAVE*$I46&gt;P$17,t-DWAVE*$I46&lt;P$17+Q$17),Q$8+Q$21*(t-DWAVE*$I46-P$17),Q$9+Q$25*(t-DWAVE*$I46-(P$17+Q$17))))</f>
        <v>6</v>
      </c>
      <c r="R46" s="5">
        <f>IF(t-DWAVE*$I46&lt;R$17,XARXI+caera*(t-DWAVE*$I46),IF(AND(t-DWAVE*$I46&gt;R$17,(t-DWAVE*$I46)&lt;R$17+S$17),R$8+R$21*(t-DWAVE*$I46-R$17),R$9+R$25*(t-DWAVE*$I46-R$17-S$17)))</f>
        <v>-39.299999999999997</v>
      </c>
      <c r="S46" s="5">
        <f>IF(t-DWAVE*$I46&lt;R$17,S$7,IF(AND(t-DWAVE*$I46&gt;R$17,t-DWAVE*$I46&lt;R$17+S$17),S$8+S$21*(t-DWAVE*$I46-R$17),S$9+S$25*(t-DWAVE*$I46-(R$17+S$17))))</f>
        <v>5</v>
      </c>
      <c r="T46" s="5">
        <f>IF(t-DWAVE*$I46&lt;T$17,XARXI+caera*(t-DWAVE*$I46),IF(AND(t-DWAVE*$I46&gt;T$17,(t-DWAVE*$I46)&lt;T$17+U$17),T$8+T$21*(t-DWAVE*$I46-T$17),T$9+T$25*(t-DWAVE*$I46-T$17-U$17)))</f>
        <v>-39.299999999999997</v>
      </c>
      <c r="U46" s="5">
        <f>IF(t-DWAVE*$I46&lt;T$17,U$7,IF(AND(t-DWAVE*$I46&gt;T$17,t-DWAVE*$I46&lt;T$17+U$17),U$8+U$21*(t-DWAVE*$I46-T$17),U$9+U$25*(t-DWAVE*$I46-(T$17+U$17))))</f>
        <v>4</v>
      </c>
      <c r="V46" s="5">
        <f>IF(t-DWAVE*$I46&lt;V$17,XARXI+caera*(t-DWAVE*$I46),IF(AND(t-DWAVE*$I46&gt;V$17,(t-DWAVE*$I46)&lt;V$17+W$17),V$8+V$21*(t-DWAVE*$I46-V$17),V$9+V$25*(t-DWAVE*$I46-V$17-W$17)))</f>
        <v>-39.299999999999997</v>
      </c>
      <c r="W46" s="5">
        <f>IF(t-DWAVE*$I46&lt;V$17,W$7,IF(AND(t-DWAVE*$I46&gt;V$17,t-DWAVE*$I46&lt;V$17+W$17),W$8+W$21*(t-DWAVE*$I46-V$17),W$9+W$25*(t-DWAVE*$I46-(V$17+W$17))))</f>
        <v>3</v>
      </c>
      <c r="X46" s="5">
        <f>IF(t-DWAVE*$I46&lt;X$17,XARXI+caera*(t-DWAVE*$I46),IF(AND(t-DWAVE*$I46&gt;X$17,(t-DWAVE*$I46)&lt;X$17+Y$17),X$8+X$21*(t-DWAVE*$I46-X$17),X$9+X$25*(t-DWAVE*$I46-X$17-Y$17)))</f>
        <v>-39.299999999999997</v>
      </c>
      <c r="Y46" s="5">
        <f>IF(t-DWAVE*$I46&lt;X$17,Y$7,IF(AND(t-DWAVE*$I46&gt;X$17,t-DWAVE*$I46&lt;X$17+Y$17),Y$8+Y$21*(t-DWAVE*$I46-X$17),Y$9+Y$25*(t-DWAVE*$I46-(X$17+Y$17))))</f>
        <v>2</v>
      </c>
      <c r="Z46" s="5">
        <f>IF(t-DWAVE*$I46&lt;Z$17,XARXI+caera*(t-DWAVE*$I46),IF(AND(t-DWAVE*$I46&gt;Z$17,(t-DWAVE*$I46)&lt;Z$17+AA$17),Z$8+Z$21*(t-DWAVE*$I46-Z$17),Z$9+Z$25*(t-DWAVE*$I46-Z$17-AA$17)))</f>
        <v>-39.299999999999997</v>
      </c>
      <c r="AA46" s="5">
        <f>IF(t-DWAVE*$I46&lt;Z$17,AA$7,IF(AND(t-DWAVE*$I46&gt;Z$17,t-DWAVE*$I46&lt;Z$17+AA$17),AA$8+AA$21*(t-DWAVE*$I46-Z$17),AA$9+AA$25*(t-DWAVE*$I46-(Z$17+AA$17))))</f>
        <v>1</v>
      </c>
      <c r="AM46">
        <f t="shared" si="6"/>
        <v>38</v>
      </c>
      <c r="AN46">
        <f t="shared" si="2"/>
        <v>-6.1999999999999993</v>
      </c>
      <c r="AO46">
        <f t="shared" si="3"/>
        <v>7.8460180983732126</v>
      </c>
      <c r="AP46">
        <f t="shared" si="4"/>
        <v>-7.8460180983732126</v>
      </c>
    </row>
    <row r="47" spans="7:42" x14ac:dyDescent="0.25">
      <c r="G47">
        <f>V28</f>
        <v>0.56600849499773709</v>
      </c>
      <c r="H47">
        <f>W28</f>
        <v>1.9520283724134149</v>
      </c>
      <c r="I47">
        <f>I46</f>
        <v>9</v>
      </c>
      <c r="J47" s="5">
        <f>IF(t-DWAVE*$I46&lt;J$18,XARXI+caera*(t-DWAVE*$I46),IF(AND(t-DWAVE*$I46&gt;J$18,t-DWAVE*$I46&lt;J$18+K$18),J$13+J$22*(t-DWAVE*$I46-J$18),J$14+J$26*(t-DWAVE*$I46-J$18-K$18)))</f>
        <v>-39.299999999999997</v>
      </c>
      <c r="K47" s="5">
        <f>IF(t-DWAVE*$I46&lt;J$18,K$12,IF(AND(t-DWAVE*$I46&gt;J$18,t-DWAVE*$I46&lt;J$18+K$18),K$13+K$22*(t-DWAVE*$I46-J$18),K$14+K$26*(t-DWAVE*$I46-(J$18+K$18))))</f>
        <v>-9</v>
      </c>
      <c r="L47" s="5">
        <f>IF(t-DWAVE*$I46&lt;L$18,XARXI+caera*(t-DWAVE*$I46),IF(AND(t-DWAVE*$I46&gt;L$18,t-DWAVE*$I46&lt;L$18+M$18),L$13+L$22*(t-DWAVE*$I46-L$18),L$14+L$26*(t-DWAVE*$I46-L$18-M$18)))</f>
        <v>-39.299999999999997</v>
      </c>
      <c r="M47" s="5">
        <f>IF(t-DWAVE*$I46&lt;L$18,M$12,IF(AND(t-DWAVE*$I46&gt;L$18,t-DWAVE*$I46&lt;L$18+M$18),M$13+M$22*(t-DWAVE*$I46-L$18),M$14+M$26*(t-DWAVE*$I46-(L$18+M$18))))</f>
        <v>-8</v>
      </c>
      <c r="N47" s="5">
        <f>IF(t-DWAVE*$I46&lt;N$18,XARXI+caera*(t-DWAVE*$I46),IF(AND(t-DWAVE*$I46&gt;N$18,t-DWAVE*$I46&lt;N$18+O$18),N$13+N$22*(t-DWAVE*$I46-N$18),N$14+N$26*(t-DWAVE*$I46-N$18-O$18)))</f>
        <v>-39.299999999999997</v>
      </c>
      <c r="O47" s="5">
        <f>IF(t-DWAVE*$I46&lt;N$18,O$12,IF(AND(t-DWAVE*$I46&gt;N$18,t-DWAVE*$I46&lt;N$18+O$18),O$13+O$22*(t-DWAVE*$I46-N$18),O$14+O$26*(t-DWAVE*$I46-(N$18+O$18))))</f>
        <v>-7</v>
      </c>
      <c r="P47" s="5">
        <f>IF(t-DWAVE*$I46&lt;P$18,XARXI+caera*(t-DWAVE*$I46),IF(AND(t-DWAVE*$I46&gt;P$18,t-DWAVE*$I46&lt;P$18+Q$18),P$13+P$22*(t-DWAVE*$I46-P$18),P$14+P$26*(t-DWAVE*$I46-P$18-Q$18)))</f>
        <v>-39.299999999999997</v>
      </c>
      <c r="Q47" s="5">
        <f>IF(t-DWAVE*$I46&lt;P$18,Q$12,IF(AND(t-DWAVE*$I46&gt;P$18,t-DWAVE*$I46&lt;P$18+Q$18),Q$13+Q$22*(t-DWAVE*$I46-P$18),Q$14+Q$26*(t-DWAVE*$I46-(P$18+Q$18))))</f>
        <v>-6</v>
      </c>
      <c r="R47" s="5">
        <f>IF(t-DWAVE*$I46&lt;R$18,XARXI+caera*(t-DWAVE*$I46),IF(AND(t-DWAVE*$I46&gt;R$18,t-DWAVE*$I46&lt;R$18+S$18),R$13+R$22*(t-DWAVE*$I46-R$18),R$14+R$26*(t-DWAVE*$I46-R$18-S$18)))</f>
        <v>-39.299999999999997</v>
      </c>
      <c r="S47" s="5">
        <f>IF(t-DWAVE*$I46&lt;R$18,S$12,IF(AND(t-DWAVE*$I46&gt;R$18,t-DWAVE*$I46&lt;R$18+S$18),S$13+S$22*(t-DWAVE*$I46-R$18),S$14+S$26*(t-DWAVE*$I46-(R$18+S$18))))</f>
        <v>-5</v>
      </c>
      <c r="T47" s="5">
        <f>IF(t-DWAVE*$I46&lt;T$18,XARXI+caera*(t-DWAVE*$I46),IF(AND(t-DWAVE*$I46&gt;T$18,t-DWAVE*$I46&lt;T$18+U$18),T$13+T$22*(t-DWAVE*$I46-T$18),T$14+T$26*(t-DWAVE*$I46-T$18-U$18)))</f>
        <v>-39.299999999999997</v>
      </c>
      <c r="U47" s="5">
        <f>IF(t-DWAVE*$I46&lt;T$18,U$12,IF(AND(t-DWAVE*$I46&gt;T$18,t-DWAVE*$I46&lt;T$18+U$18),U$13+U$22*(t-DWAVE*$I46-T$18),U$14+U$26*(t-DWAVE*$I46-(T$18+U$18))))</f>
        <v>-4</v>
      </c>
      <c r="V47" s="5">
        <f>IF(t-DWAVE*$I46&lt;V$18,XARXI+caera*(t-DWAVE*$I46),IF(AND(t-DWAVE*$I46&gt;V$18,t-DWAVE*$I46&lt;V$18+W$18),V$13+V$22*(t-DWAVE*$I46-V$18),V$14+V$26*(t-DWAVE*$I46-V$18-W$18)))</f>
        <v>-39.299999999999997</v>
      </c>
      <c r="W47" s="5">
        <f>IF(t-DWAVE*$I46&lt;V$18,W$12,IF(AND(t-DWAVE*$I46&gt;V$18,t-DWAVE*$I46&lt;V$18+W$18),W$13+W$22*(t-DWAVE*$I46-V$18),W$14+W$26*(t-DWAVE*$I46-(V$18+W$18))))</f>
        <v>-3</v>
      </c>
      <c r="X47" s="5">
        <f>IF(t-DWAVE*$I46&lt;X$18,XARXI+caera*(t-DWAVE*$I46),IF(AND(t-DWAVE*$I46&gt;X$18,t-DWAVE*$I46&lt;X$18+Y$18),X$13+X$22*(t-DWAVE*$I46-X$18),X$14+X$26*(t-DWAVE*$I46-X$18-Y$18)))</f>
        <v>-39.299999999999997</v>
      </c>
      <c r="Y47" s="5">
        <f>IF(t-DWAVE*$I46&lt;X$18,Y$12,IF(AND(t-DWAVE*$I46&gt;X$18,t-DWAVE*$I46&lt;X$18+Y$18),Y$13+Y$22*(t-DWAVE*$I46-X$18),Y$14+Y$26*(t-DWAVE*$I46-(X$18+Y$18))))</f>
        <v>-2</v>
      </c>
      <c r="Z47" s="5">
        <f>IF(t-DWAVE*$I46&lt;Z$18,XARXI+caera*(t-DWAVE*$I46),IF(AND(t-DWAVE*$I46&gt;Z$18,t-DWAVE*$I46&lt;Z$18+AA$18),Z$13+Z$22*(t-DWAVE*$I46-Z$18),Z$14+Z$26*(t-DWAVE*$I46-Z$18-AA$18)))</f>
        <v>-39.299999999999997</v>
      </c>
      <c r="AA47" s="5">
        <f>IF(t-DWAVE*$I46&lt;Z$18,AA$12,IF(AND(t-DWAVE*$I46&gt;Z$18,t-DWAVE*$I46&lt;Z$18+AA$18),AA$13+AA$22*(t-DWAVE*$I46-Z$18),AA$14+AA$26*(t-DWAVE*$I46-(Z$18+AA$18))))</f>
        <v>-1</v>
      </c>
      <c r="AM47">
        <f t="shared" si="6"/>
        <v>39</v>
      </c>
      <c r="AN47">
        <f t="shared" si="2"/>
        <v>-6.1</v>
      </c>
      <c r="AO47">
        <f t="shared" si="3"/>
        <v>7.9240141342630128</v>
      </c>
      <c r="AP47">
        <f t="shared" si="4"/>
        <v>-7.9240141342630128</v>
      </c>
    </row>
    <row r="48" spans="7:42" x14ac:dyDescent="0.25">
      <c r="G48">
        <f>V29</f>
        <v>0.56600849499773709</v>
      </c>
      <c r="H48">
        <f>W29</f>
        <v>-1.9520283724134149</v>
      </c>
      <c r="I48">
        <f>I46+1</f>
        <v>10</v>
      </c>
      <c r="J48" s="5">
        <f>IF(t-DWAVE*$I48&lt;J$17,XARXI+caera*(t-DWAVE*$I48),IF(AND(t-DWAVE*$I48&gt;J$17,(t-DWAVE*$I48)&lt;J$17+K$17),J$8+J$21*(t-DWAVE*$I48-J$17),J$9+J$25*(t-DWAVE*$I48-J$17-K$17)))</f>
        <v>-44.3</v>
      </c>
      <c r="K48" s="5">
        <f>IF(t-DWAVE*$I48&lt;J$17,K$7,IF(AND(t-DWAVE*$I48&gt;J$17,t-DWAVE*$I48&lt;J$17+K$17),K$8+K$21*(t-DWAVE*$I48-J$17),K$9+K$25*(t-DWAVE*$I48-(J$17+K$17))))</f>
        <v>9</v>
      </c>
      <c r="L48" s="5">
        <f>IF(t-DWAVE*$I48&lt;L$17,XARXI+caera*(t-DWAVE*$I48),IF(AND(t-DWAVE*$I48&gt;L$17,(t-DWAVE*$I48)&lt;L$17+M$17),L$8+L$21*(t-DWAVE*$I48-L$17),L$9+L$25*(t-DWAVE*$I48-L$17-M$17)))</f>
        <v>-44.3</v>
      </c>
      <c r="M48" s="5">
        <f>IF(t-DWAVE*$I48&lt;L$17,M$7,IF(AND(t-DWAVE*$I48&gt;L$17,t-DWAVE*$I48&lt;L$17+M$17),M$8+M$21*(t-DWAVE*$I48-L$17),M$9+M$25*(t-DWAVE*$I48-(L$17+M$17))))</f>
        <v>8</v>
      </c>
      <c r="N48" s="5">
        <f>IF(t-DWAVE*$I48&lt;N$17,XARXI+caera*(t-DWAVE*$I48),IF(AND(t-DWAVE*$I48&gt;N$17,(t-DWAVE*$I48)&lt;N$17+O$17),N$8+N$21*(t-DWAVE*$I48-N$17),N$9+N$25*(t-DWAVE*$I48-N$17-O$17)))</f>
        <v>-44.3</v>
      </c>
      <c r="O48" s="5">
        <f>IF(t-DWAVE*$I48&lt;N$17,O$7,IF(AND(t-DWAVE*$I48&gt;N$17,t-DWAVE*$I48&lt;N$17+O$17),O$8+O$21*(t-DWAVE*$I48-N$17),O$9+O$25*(t-DWAVE*$I48-(N$17+O$17))))</f>
        <v>7</v>
      </c>
      <c r="P48" s="5">
        <f>IF(t-DWAVE*$I48&lt;P$17,XARXI+caera*(t-DWAVE*$I48),IF(AND(t-DWAVE*$I48&gt;P$17,(t-DWAVE*$I48)&lt;P$17+Q$17),P$8+P$21*(t-DWAVE*$I48-P$17),P$9+P$25*(t-DWAVE*$I48-P$17-Q$17)))</f>
        <v>-44.3</v>
      </c>
      <c r="Q48" s="5">
        <f>IF(t-DWAVE*$I48&lt;P$17,Q$7,IF(AND(t-DWAVE*$I48&gt;P$17,t-DWAVE*$I48&lt;P$17+Q$17),Q$8+Q$21*(t-DWAVE*$I48-P$17),Q$9+Q$25*(t-DWAVE*$I48-(P$17+Q$17))))</f>
        <v>6</v>
      </c>
      <c r="R48" s="5">
        <f>IF(t-DWAVE*$I48&lt;R$17,XARXI+caera*(t-DWAVE*$I48),IF(AND(t-DWAVE*$I48&gt;R$17,(t-DWAVE*$I48)&lt;R$17+S$17),R$8+R$21*(t-DWAVE*$I48-R$17),R$9+R$25*(t-DWAVE*$I48-R$17-S$17)))</f>
        <v>-44.3</v>
      </c>
      <c r="S48" s="5">
        <f>IF(t-DWAVE*$I48&lt;R$17,S$7,IF(AND(t-DWAVE*$I48&gt;R$17,t-DWAVE*$I48&lt;R$17+S$17),S$8+S$21*(t-DWAVE*$I48-R$17),S$9+S$25*(t-DWAVE*$I48-(R$17+S$17))))</f>
        <v>5</v>
      </c>
      <c r="T48" s="5">
        <f>IF(t-DWAVE*$I48&lt;T$17,XARXI+caera*(t-DWAVE*$I48),IF(AND(t-DWAVE*$I48&gt;T$17,(t-DWAVE*$I48)&lt;T$17+U$17),T$8+T$21*(t-DWAVE*$I48-T$17),T$9+T$25*(t-DWAVE*$I48-T$17-U$17)))</f>
        <v>-44.3</v>
      </c>
      <c r="U48" s="5">
        <f>IF(t-DWAVE*$I48&lt;T$17,U$7,IF(AND(t-DWAVE*$I48&gt;T$17,t-DWAVE*$I48&lt;T$17+U$17),U$8+U$21*(t-DWAVE*$I48-T$17),U$9+U$25*(t-DWAVE*$I48-(T$17+U$17))))</f>
        <v>4</v>
      </c>
      <c r="V48" s="5">
        <f>IF(t-DWAVE*$I48&lt;V$17,XARXI+caera*(t-DWAVE*$I48),IF(AND(t-DWAVE*$I48&gt;V$17,(t-DWAVE*$I48)&lt;V$17+W$17),V$8+V$21*(t-DWAVE*$I48-V$17),V$9+V$25*(t-DWAVE*$I48-V$17-W$17)))</f>
        <v>-44.3</v>
      </c>
      <c r="W48" s="5">
        <f>IF(t-DWAVE*$I48&lt;V$17,W$7,IF(AND(t-DWAVE*$I48&gt;V$17,t-DWAVE*$I48&lt;V$17+W$17),W$8+W$21*(t-DWAVE*$I48-V$17),W$9+W$25*(t-DWAVE*$I48-(V$17+W$17))))</f>
        <v>3</v>
      </c>
      <c r="X48" s="5">
        <f>IF(t-DWAVE*$I48&lt;X$17,XARXI+caera*(t-DWAVE*$I48),IF(AND(t-DWAVE*$I48&gt;X$17,(t-DWAVE*$I48)&lt;X$17+Y$17),X$8+X$21*(t-DWAVE*$I48-X$17),X$9+X$25*(t-DWAVE*$I48-X$17-Y$17)))</f>
        <v>-44.3</v>
      </c>
      <c r="Y48" s="5">
        <f>IF(t-DWAVE*$I48&lt;X$17,Y$7,IF(AND(t-DWAVE*$I48&gt;X$17,t-DWAVE*$I48&lt;X$17+Y$17),Y$8+Y$21*(t-DWAVE*$I48-X$17),Y$9+Y$25*(t-DWAVE*$I48-(X$17+Y$17))))</f>
        <v>2</v>
      </c>
      <c r="Z48" s="5">
        <f>IF(t-DWAVE*$I48&lt;Z$17,XARXI+caera*(t-DWAVE*$I48),IF(AND(t-DWAVE*$I48&gt;Z$17,(t-DWAVE*$I48)&lt;Z$17+AA$17),Z$8+Z$21*(t-DWAVE*$I48-Z$17),Z$9+Z$25*(t-DWAVE*$I48-Z$17-AA$17)))</f>
        <v>-44.3</v>
      </c>
      <c r="AA48" s="5">
        <f>IF(t-DWAVE*$I48&lt;Z$17,AA$7,IF(AND(t-DWAVE*$I48&gt;Z$17,t-DWAVE*$I48&lt;Z$17+AA$17),AA$8+AA$21*(t-DWAVE*$I48-Z$17),AA$9+AA$25*(t-DWAVE*$I48-(Z$17+AA$17))))</f>
        <v>1</v>
      </c>
      <c r="AM48">
        <f t="shared" si="6"/>
        <v>40</v>
      </c>
      <c r="AN48">
        <f t="shared" si="2"/>
        <v>-6</v>
      </c>
      <c r="AO48">
        <f t="shared" si="3"/>
        <v>8</v>
      </c>
      <c r="AP48">
        <f t="shared" si="4"/>
        <v>-8</v>
      </c>
    </row>
    <row r="49" spans="7:42" x14ac:dyDescent="0.25">
      <c r="G49">
        <f>X28</f>
        <v>0.51039696674381219</v>
      </c>
      <c r="H49">
        <f>Y28</f>
        <v>1.3018190455775642</v>
      </c>
      <c r="I49">
        <f>I48</f>
        <v>10</v>
      </c>
      <c r="J49" s="5">
        <f>IF(t-DWAVE*$I48&lt;J$18,XARXI+caera*(t-DWAVE*$I48),IF(AND(t-DWAVE*$I48&gt;J$18,t-DWAVE*$I48&lt;J$18+K$18),J$13+J$22*(t-DWAVE*$I48-J$18),J$14+J$26*(t-DWAVE*$I48-J$18-K$18)))</f>
        <v>-44.3</v>
      </c>
      <c r="K49" s="5">
        <f>IF(t-DWAVE*$I48&lt;J$18,K$12,IF(AND(t-DWAVE*$I48&gt;J$18,t-DWAVE*$I48&lt;J$18+K$18),K$13+K$22*(t-DWAVE*$I48-J$18),K$14+K$26*(t-DWAVE*$I48-(J$18+K$18))))</f>
        <v>-9</v>
      </c>
      <c r="L49" s="5">
        <f>IF(t-DWAVE*$I48&lt;L$18,XARXI+caera*(t-DWAVE*$I48),IF(AND(t-DWAVE*$I48&gt;L$18,t-DWAVE*$I48&lt;L$18+M$18),L$13+L$22*(t-DWAVE*$I48-L$18),L$14+L$26*(t-DWAVE*$I48-L$18-M$18)))</f>
        <v>-44.3</v>
      </c>
      <c r="M49" s="5">
        <f>IF(t-DWAVE*$I48&lt;L$18,M$12,IF(AND(t-DWAVE*$I48&gt;L$18,t-DWAVE*$I48&lt;L$18+M$18),M$13+M$22*(t-DWAVE*$I48-L$18),M$14+M$26*(t-DWAVE*$I48-(L$18+M$18))))</f>
        <v>-8</v>
      </c>
      <c r="N49" s="5">
        <f>IF(t-DWAVE*$I48&lt;N$18,XARXI+caera*(t-DWAVE*$I48),IF(AND(t-DWAVE*$I48&gt;N$18,t-DWAVE*$I48&lt;N$18+O$18),N$13+N$22*(t-DWAVE*$I48-N$18),N$14+N$26*(t-DWAVE*$I48-N$18-O$18)))</f>
        <v>-44.3</v>
      </c>
      <c r="O49" s="5">
        <f>IF(t-DWAVE*$I48&lt;N$18,O$12,IF(AND(t-DWAVE*$I48&gt;N$18,t-DWAVE*$I48&lt;N$18+O$18),O$13+O$22*(t-DWAVE*$I48-N$18),O$14+O$26*(t-DWAVE*$I48-(N$18+O$18))))</f>
        <v>-7</v>
      </c>
      <c r="P49" s="5">
        <f>IF(t-DWAVE*$I48&lt;P$18,XARXI+caera*(t-DWAVE*$I48),IF(AND(t-DWAVE*$I48&gt;P$18,t-DWAVE*$I48&lt;P$18+Q$18),P$13+P$22*(t-DWAVE*$I48-P$18),P$14+P$26*(t-DWAVE*$I48-P$18-Q$18)))</f>
        <v>-44.3</v>
      </c>
      <c r="Q49" s="5">
        <f>IF(t-DWAVE*$I48&lt;P$18,Q$12,IF(AND(t-DWAVE*$I48&gt;P$18,t-DWAVE*$I48&lt;P$18+Q$18),Q$13+Q$22*(t-DWAVE*$I48-P$18),Q$14+Q$26*(t-DWAVE*$I48-(P$18+Q$18))))</f>
        <v>-6</v>
      </c>
      <c r="R49" s="5">
        <f>IF(t-DWAVE*$I48&lt;R$18,XARXI+caera*(t-DWAVE*$I48),IF(AND(t-DWAVE*$I48&gt;R$18,t-DWAVE*$I48&lt;R$18+S$18),R$13+R$22*(t-DWAVE*$I48-R$18),R$14+R$26*(t-DWAVE*$I48-R$18-S$18)))</f>
        <v>-44.3</v>
      </c>
      <c r="S49" s="5">
        <f>IF(t-DWAVE*$I48&lt;R$18,S$12,IF(AND(t-DWAVE*$I48&gt;R$18,t-DWAVE*$I48&lt;R$18+S$18),S$13+S$22*(t-DWAVE*$I48-R$18),S$14+S$26*(t-DWAVE*$I48-(R$18+S$18))))</f>
        <v>-5</v>
      </c>
      <c r="T49" s="5">
        <f>IF(t-DWAVE*$I48&lt;T$18,XARXI+caera*(t-DWAVE*$I48),IF(AND(t-DWAVE*$I48&gt;T$18,t-DWAVE*$I48&lt;T$18+U$18),T$13+T$22*(t-DWAVE*$I48-T$18),T$14+T$26*(t-DWAVE*$I48-T$18-U$18)))</f>
        <v>-44.3</v>
      </c>
      <c r="U49" s="5">
        <f>IF(t-DWAVE*$I48&lt;T$18,U$12,IF(AND(t-DWAVE*$I48&gt;T$18,t-DWAVE*$I48&lt;T$18+U$18),U$13+U$22*(t-DWAVE*$I48-T$18),U$14+U$26*(t-DWAVE*$I48-(T$18+U$18))))</f>
        <v>-4</v>
      </c>
      <c r="V49" s="5">
        <f>IF(t-DWAVE*$I48&lt;V$18,XARXI+caera*(t-DWAVE*$I48),IF(AND(t-DWAVE*$I48&gt;V$18,t-DWAVE*$I48&lt;V$18+W$18),V$13+V$22*(t-DWAVE*$I48-V$18),V$14+V$26*(t-DWAVE*$I48-V$18-W$18)))</f>
        <v>-44.3</v>
      </c>
      <c r="W49" s="5">
        <f>IF(t-DWAVE*$I48&lt;V$18,W$12,IF(AND(t-DWAVE*$I48&gt;V$18,t-DWAVE*$I48&lt;V$18+W$18),W$13+W$22*(t-DWAVE*$I48-V$18),W$14+W$26*(t-DWAVE*$I48-(V$18+W$18))))</f>
        <v>-3</v>
      </c>
      <c r="X49" s="5">
        <f>IF(t-DWAVE*$I48&lt;X$18,XARXI+caera*(t-DWAVE*$I48),IF(AND(t-DWAVE*$I48&gt;X$18,t-DWAVE*$I48&lt;X$18+Y$18),X$13+X$22*(t-DWAVE*$I48-X$18),X$14+X$26*(t-DWAVE*$I48-X$18-Y$18)))</f>
        <v>-44.3</v>
      </c>
      <c r="Y49" s="5">
        <f>IF(t-DWAVE*$I48&lt;X$18,Y$12,IF(AND(t-DWAVE*$I48&gt;X$18,t-DWAVE*$I48&lt;X$18+Y$18),Y$13+Y$22*(t-DWAVE*$I48-X$18),Y$14+Y$26*(t-DWAVE*$I48-(X$18+Y$18))))</f>
        <v>-2</v>
      </c>
      <c r="Z49" s="5">
        <f>IF(t-DWAVE*$I48&lt;Z$18,XARXI+caera*(t-DWAVE*$I48),IF(AND(t-DWAVE*$I48&gt;Z$18,t-DWAVE*$I48&lt;Z$18+AA$18),Z$13+Z$22*(t-DWAVE*$I48-Z$18),Z$14+Z$26*(t-DWAVE*$I48-Z$18-AA$18)))</f>
        <v>-44.3</v>
      </c>
      <c r="AA49" s="5">
        <f>IF(t-DWAVE*$I48&lt;Z$18,AA$12,IF(AND(t-DWAVE*$I48&gt;Z$18,t-DWAVE*$I48&lt;Z$18+AA$18),AA$13+AA$22*(t-DWAVE*$I48-Z$18),AA$14+AA$26*(t-DWAVE*$I48-(Z$18+AA$18))))</f>
        <v>-1</v>
      </c>
      <c r="AM49">
        <f t="shared" si="6"/>
        <v>41</v>
      </c>
      <c r="AN49">
        <f t="shared" si="2"/>
        <v>-5.8999999999999995</v>
      </c>
      <c r="AO49">
        <f t="shared" si="3"/>
        <v>8.0740324497737799</v>
      </c>
      <c r="AP49">
        <f t="shared" si="4"/>
        <v>-8.0740324497737799</v>
      </c>
    </row>
    <row r="50" spans="7:42" x14ac:dyDescent="0.25">
      <c r="G50">
        <f>X29</f>
        <v>0.51039696674381219</v>
      </c>
      <c r="H50">
        <f>-Y29</f>
        <v>1.3018190455775642</v>
      </c>
      <c r="AM50">
        <f t="shared" si="6"/>
        <v>42</v>
      </c>
      <c r="AN50">
        <f t="shared" si="2"/>
        <v>-5.8</v>
      </c>
      <c r="AO50">
        <f t="shared" si="3"/>
        <v>8.1461647417665208</v>
      </c>
      <c r="AP50">
        <f t="shared" si="4"/>
        <v>-8.1461647417665208</v>
      </c>
    </row>
    <row r="51" spans="7:42" x14ac:dyDescent="0.25">
      <c r="G51">
        <f>Z28</f>
        <v>0.47753841524189866</v>
      </c>
      <c r="H51">
        <f>AA28</f>
        <v>0.65105960775440519</v>
      </c>
      <c r="AM51">
        <f t="shared" si="6"/>
        <v>43</v>
      </c>
      <c r="AN51">
        <f t="shared" si="2"/>
        <v>-5.7</v>
      </c>
      <c r="AO51">
        <f t="shared" si="3"/>
        <v>8.2164469206585871</v>
      </c>
      <c r="AP51">
        <f t="shared" si="4"/>
        <v>-8.2164469206585871</v>
      </c>
    </row>
    <row r="52" spans="7:42" x14ac:dyDescent="0.25">
      <c r="G52">
        <f>Z29</f>
        <v>0.47753841524189866</v>
      </c>
      <c r="H52">
        <f>AA29</f>
        <v>-0.65105960775440519</v>
      </c>
      <c r="AM52">
        <f t="shared" si="6"/>
        <v>44</v>
      </c>
      <c r="AN52">
        <f t="shared" si="2"/>
        <v>-5.6</v>
      </c>
      <c r="AO52">
        <f t="shared" si="3"/>
        <v>8.2849260708831913</v>
      </c>
      <c r="AP52">
        <f t="shared" si="4"/>
        <v>-8.2849260708831913</v>
      </c>
    </row>
    <row r="53" spans="7:42" x14ac:dyDescent="0.25">
      <c r="AM53">
        <f t="shared" si="6"/>
        <v>45</v>
      </c>
      <c r="AN53">
        <f t="shared" si="2"/>
        <v>-5.5</v>
      </c>
      <c r="AO53">
        <f t="shared" si="3"/>
        <v>8.3516465442450336</v>
      </c>
      <c r="AP53">
        <f t="shared" si="4"/>
        <v>-8.3516465442450336</v>
      </c>
    </row>
    <row r="54" spans="7:42" x14ac:dyDescent="0.25">
      <c r="AM54">
        <f t="shared" si="6"/>
        <v>46</v>
      </c>
      <c r="AN54">
        <f t="shared" si="2"/>
        <v>-5.3999999999999995</v>
      </c>
      <c r="AO54">
        <f t="shared" si="3"/>
        <v>8.4166501650003251</v>
      </c>
      <c r="AP54">
        <f t="shared" si="4"/>
        <v>-8.4166501650003251</v>
      </c>
    </row>
    <row r="55" spans="7:42" x14ac:dyDescent="0.25">
      <c r="AM55">
        <f t="shared" si="6"/>
        <v>47</v>
      </c>
      <c r="AN55">
        <f t="shared" si="2"/>
        <v>-5.3</v>
      </c>
      <c r="AO55">
        <f t="shared" si="3"/>
        <v>8.4799764150615413</v>
      </c>
      <c r="AP55">
        <f t="shared" si="4"/>
        <v>-8.4799764150615413</v>
      </c>
    </row>
    <row r="56" spans="7:42" x14ac:dyDescent="0.25">
      <c r="AM56">
        <f t="shared" si="6"/>
        <v>48</v>
      </c>
      <c r="AN56">
        <f t="shared" si="2"/>
        <v>-5.1999999999999993</v>
      </c>
      <c r="AO56">
        <f t="shared" si="3"/>
        <v>8.541662601625049</v>
      </c>
      <c r="AP56">
        <f t="shared" si="4"/>
        <v>-8.541662601625049</v>
      </c>
    </row>
    <row r="57" spans="7:42" x14ac:dyDescent="0.25">
      <c r="AM57">
        <f t="shared" si="6"/>
        <v>49</v>
      </c>
      <c r="AN57">
        <f t="shared" si="2"/>
        <v>-5.0999999999999996</v>
      </c>
      <c r="AO57">
        <f t="shared" si="3"/>
        <v>8.6017440092111563</v>
      </c>
      <c r="AP57">
        <f t="shared" si="4"/>
        <v>-8.6017440092111563</v>
      </c>
    </row>
    <row r="58" spans="7:42" x14ac:dyDescent="0.25">
      <c r="AM58">
        <f t="shared" si="6"/>
        <v>50</v>
      </c>
      <c r="AN58">
        <f t="shared" si="2"/>
        <v>-5</v>
      </c>
      <c r="AO58">
        <f t="shared" si="3"/>
        <v>8.6602540378443873</v>
      </c>
      <c r="AP58">
        <f t="shared" si="4"/>
        <v>-8.6602540378443873</v>
      </c>
    </row>
    <row r="59" spans="7:42" x14ac:dyDescent="0.25">
      <c r="AM59">
        <f t="shared" si="6"/>
        <v>51</v>
      </c>
      <c r="AN59">
        <f t="shared" si="2"/>
        <v>-4.8999999999999995</v>
      </c>
      <c r="AO59">
        <f t="shared" si="3"/>
        <v>8.7172243288790039</v>
      </c>
      <c r="AP59">
        <f t="shared" si="4"/>
        <v>-8.7172243288790039</v>
      </c>
    </row>
    <row r="60" spans="7:42" x14ac:dyDescent="0.25">
      <c r="AM60">
        <f t="shared" si="6"/>
        <v>52</v>
      </c>
      <c r="AN60">
        <f t="shared" si="2"/>
        <v>-4.8</v>
      </c>
      <c r="AO60">
        <f t="shared" si="3"/>
        <v>8.7726848797845243</v>
      </c>
      <c r="AP60">
        <f t="shared" si="4"/>
        <v>-8.7726848797845243</v>
      </c>
    </row>
    <row r="61" spans="7:42" x14ac:dyDescent="0.25">
      <c r="AM61">
        <f t="shared" si="6"/>
        <v>53</v>
      </c>
      <c r="AN61">
        <f t="shared" si="2"/>
        <v>-4.6999999999999993</v>
      </c>
      <c r="AO61">
        <f t="shared" si="3"/>
        <v>8.8266641490429443</v>
      </c>
      <c r="AP61">
        <f t="shared" si="4"/>
        <v>-8.8266641490429443</v>
      </c>
    </row>
    <row r="62" spans="7:42" x14ac:dyDescent="0.25">
      <c r="AM62">
        <f t="shared" si="6"/>
        <v>54</v>
      </c>
      <c r="AN62">
        <f t="shared" si="2"/>
        <v>-4.5999999999999996</v>
      </c>
      <c r="AO62">
        <f t="shared" si="3"/>
        <v>8.8791891521692463</v>
      </c>
      <c r="AP62">
        <f t="shared" si="4"/>
        <v>-8.8791891521692463</v>
      </c>
    </row>
    <row r="63" spans="7:42" x14ac:dyDescent="0.25">
      <c r="AM63">
        <f t="shared" si="6"/>
        <v>55</v>
      </c>
      <c r="AN63">
        <f t="shared" si="2"/>
        <v>-4.5</v>
      </c>
      <c r="AO63">
        <f t="shared" si="3"/>
        <v>8.9302855497458751</v>
      </c>
      <c r="AP63">
        <f t="shared" si="4"/>
        <v>-8.9302855497458751</v>
      </c>
    </row>
    <row r="64" spans="7:42" x14ac:dyDescent="0.25">
      <c r="AM64">
        <f t="shared" si="6"/>
        <v>56</v>
      </c>
      <c r="AN64">
        <f t="shared" si="2"/>
        <v>-4.3999999999999995</v>
      </c>
      <c r="AO64">
        <f t="shared" si="3"/>
        <v>8.9799777282574595</v>
      </c>
      <c r="AP64">
        <f t="shared" si="4"/>
        <v>-8.9799777282574595</v>
      </c>
    </row>
    <row r="65" spans="39:42" x14ac:dyDescent="0.25">
      <c r="AM65">
        <f t="shared" si="6"/>
        <v>57</v>
      </c>
      <c r="AN65">
        <f t="shared" si="2"/>
        <v>-4.3</v>
      </c>
      <c r="AO65">
        <f t="shared" si="3"/>
        <v>9.0282888744213317</v>
      </c>
      <c r="AP65">
        <f t="shared" si="4"/>
        <v>-9.0282888744213317</v>
      </c>
    </row>
    <row r="66" spans="39:42" x14ac:dyDescent="0.25">
      <c r="AM66">
        <f t="shared" si="6"/>
        <v>58</v>
      </c>
      <c r="AN66">
        <f t="shared" si="2"/>
        <v>-4.1999999999999993</v>
      </c>
      <c r="AO66">
        <f t="shared" si="3"/>
        <v>9.0752410436307436</v>
      </c>
      <c r="AP66">
        <f t="shared" si="4"/>
        <v>-9.0752410436307436</v>
      </c>
    </row>
    <row r="67" spans="39:42" x14ac:dyDescent="0.25">
      <c r="AM67">
        <f t="shared" si="6"/>
        <v>59</v>
      </c>
      <c r="AN67">
        <f t="shared" si="2"/>
        <v>-4.0999999999999996</v>
      </c>
      <c r="AO67">
        <f t="shared" si="3"/>
        <v>9.1208552230588555</v>
      </c>
      <c r="AP67">
        <f t="shared" si="4"/>
        <v>-9.1208552230588555</v>
      </c>
    </row>
    <row r="68" spans="39:42" x14ac:dyDescent="0.25">
      <c r="AM68">
        <f t="shared" si="6"/>
        <v>60</v>
      </c>
      <c r="AN68">
        <f t="shared" si="2"/>
        <v>-4</v>
      </c>
      <c r="AO68">
        <f t="shared" si="3"/>
        <v>9.1651513899116797</v>
      </c>
      <c r="AP68">
        <f t="shared" si="4"/>
        <v>-9.1651513899116797</v>
      </c>
    </row>
    <row r="69" spans="39:42" x14ac:dyDescent="0.25">
      <c r="AM69">
        <f t="shared" si="6"/>
        <v>61</v>
      </c>
      <c r="AN69">
        <f t="shared" si="2"/>
        <v>-3.8999999999999995</v>
      </c>
      <c r="AO69">
        <f t="shared" si="3"/>
        <v>9.2081485652654411</v>
      </c>
      <c r="AP69">
        <f t="shared" si="4"/>
        <v>-9.2081485652654411</v>
      </c>
    </row>
    <row r="70" spans="39:42" x14ac:dyDescent="0.25">
      <c r="AM70">
        <f t="shared" si="6"/>
        <v>62</v>
      </c>
      <c r="AN70">
        <f t="shared" si="2"/>
        <v>-3.8</v>
      </c>
      <c r="AO70">
        <f t="shared" si="3"/>
        <v>9.2498648638777414</v>
      </c>
      <c r="AP70">
        <f t="shared" si="4"/>
        <v>-9.2498648638777414</v>
      </c>
    </row>
    <row r="71" spans="39:42" x14ac:dyDescent="0.25">
      <c r="AM71">
        <f t="shared" si="6"/>
        <v>63</v>
      </c>
      <c r="AN71">
        <f t="shared" si="2"/>
        <v>-3.6999999999999993</v>
      </c>
      <c r="AO71">
        <f t="shared" si="3"/>
        <v>9.2903175403212135</v>
      </c>
      <c r="AP71">
        <f t="shared" si="4"/>
        <v>-9.2903175403212135</v>
      </c>
    </row>
    <row r="72" spans="39:42" x14ac:dyDescent="0.25">
      <c r="AM72">
        <f t="shared" si="6"/>
        <v>64</v>
      </c>
      <c r="AN72">
        <f t="shared" ref="AN72:AN135" si="7">-RCYCLE+AM72*STEP</f>
        <v>-3.5999999999999996</v>
      </c>
      <c r="AO72">
        <f t="shared" ref="AO72:AO135" si="8">yc+SQRT(RCYCLE^2-(AN72-xc)^2)</f>
        <v>9.3295230317524815</v>
      </c>
      <c r="AP72">
        <f t="shared" ref="AP72:AP135" si="9">yc-SQRT(RCYCLE^2-(AN72-xc)^2)</f>
        <v>-9.3295230317524815</v>
      </c>
    </row>
    <row r="73" spans="39:42" x14ac:dyDescent="0.25">
      <c r="AM73">
        <f t="shared" si="6"/>
        <v>65</v>
      </c>
      <c r="AN73">
        <f t="shared" si="7"/>
        <v>-3.5</v>
      </c>
      <c r="AO73">
        <f t="shared" si="8"/>
        <v>9.3674969975975966</v>
      </c>
      <c r="AP73">
        <f t="shared" si="9"/>
        <v>-9.3674969975975966</v>
      </c>
    </row>
    <row r="74" spans="39:42" x14ac:dyDescent="0.25">
      <c r="AM74">
        <f t="shared" si="6"/>
        <v>66</v>
      </c>
      <c r="AN74">
        <f t="shared" si="7"/>
        <v>-3.3999999999999995</v>
      </c>
      <c r="AO74">
        <f t="shared" si="8"/>
        <v>9.404254356406998</v>
      </c>
      <c r="AP74">
        <f t="shared" si="9"/>
        <v>-9.404254356406998</v>
      </c>
    </row>
    <row r="75" spans="39:42" x14ac:dyDescent="0.25">
      <c r="AM75">
        <f t="shared" ref="AM75:AM138" si="10">AM74+1</f>
        <v>67</v>
      </c>
      <c r="AN75">
        <f t="shared" si="7"/>
        <v>-3.3</v>
      </c>
      <c r="AO75">
        <f t="shared" si="8"/>
        <v>9.4398093201081128</v>
      </c>
      <c r="AP75">
        <f t="shared" si="9"/>
        <v>-9.4398093201081128</v>
      </c>
    </row>
    <row r="76" spans="39:42" x14ac:dyDescent="0.25">
      <c r="AM76">
        <f t="shared" si="10"/>
        <v>68</v>
      </c>
      <c r="AN76">
        <f t="shared" si="7"/>
        <v>-3.1999999999999993</v>
      </c>
      <c r="AO76">
        <f t="shared" si="8"/>
        <v>9.4741754258616098</v>
      </c>
      <c r="AP76">
        <f t="shared" si="9"/>
        <v>-9.4741754258616098</v>
      </c>
    </row>
    <row r="77" spans="39:42" x14ac:dyDescent="0.25">
      <c r="AM77">
        <f t="shared" si="10"/>
        <v>69</v>
      </c>
      <c r="AN77">
        <f t="shared" si="7"/>
        <v>-3.0999999999999996</v>
      </c>
      <c r="AO77">
        <f t="shared" si="8"/>
        <v>9.5073655657074632</v>
      </c>
      <c r="AP77">
        <f t="shared" si="9"/>
        <v>-9.5073655657074632</v>
      </c>
    </row>
    <row r="78" spans="39:42" x14ac:dyDescent="0.25">
      <c r="AM78">
        <f t="shared" si="10"/>
        <v>70</v>
      </c>
      <c r="AN78">
        <f t="shared" si="7"/>
        <v>-3</v>
      </c>
      <c r="AO78">
        <f t="shared" si="8"/>
        <v>9.5393920141694561</v>
      </c>
      <c r="AP78">
        <f t="shared" si="9"/>
        <v>-9.5393920141694561</v>
      </c>
    </row>
    <row r="79" spans="39:42" x14ac:dyDescent="0.25">
      <c r="AM79">
        <f t="shared" si="10"/>
        <v>71</v>
      </c>
      <c r="AN79">
        <f t="shared" si="7"/>
        <v>-2.8999999999999995</v>
      </c>
      <c r="AO79">
        <f t="shared" si="8"/>
        <v>9.5702664539708611</v>
      </c>
      <c r="AP79">
        <f t="shared" si="9"/>
        <v>-9.5702664539708611</v>
      </c>
    </row>
    <row r="80" spans="39:42" x14ac:dyDescent="0.25">
      <c r="AM80">
        <f t="shared" si="10"/>
        <v>72</v>
      </c>
      <c r="AN80">
        <f t="shared" si="7"/>
        <v>-2.8</v>
      </c>
      <c r="AO80">
        <f t="shared" si="8"/>
        <v>9.6</v>
      </c>
      <c r="AP80">
        <f t="shared" si="9"/>
        <v>-9.6</v>
      </c>
    </row>
    <row r="81" spans="39:42" x14ac:dyDescent="0.25">
      <c r="AM81">
        <f t="shared" si="10"/>
        <v>73</v>
      </c>
      <c r="AN81">
        <f t="shared" si="7"/>
        <v>-2.6999999999999993</v>
      </c>
      <c r="AO81">
        <f t="shared" si="8"/>
        <v>9.6286032216516233</v>
      </c>
      <c r="AP81">
        <f t="shared" si="9"/>
        <v>-9.6286032216516233</v>
      </c>
    </row>
    <row r="82" spans="39:42" x14ac:dyDescent="0.25">
      <c r="AM82">
        <f t="shared" si="10"/>
        <v>74</v>
      </c>
      <c r="AN82">
        <f t="shared" si="7"/>
        <v>-2.5999999999999996</v>
      </c>
      <c r="AO82">
        <f t="shared" si="8"/>
        <v>9.6560861636586495</v>
      </c>
      <c r="AP82">
        <f t="shared" si="9"/>
        <v>-9.6560861636586495</v>
      </c>
    </row>
    <row r="83" spans="39:42" x14ac:dyDescent="0.25">
      <c r="AM83">
        <f t="shared" si="10"/>
        <v>75</v>
      </c>
      <c r="AN83">
        <f t="shared" si="7"/>
        <v>-2.5</v>
      </c>
      <c r="AO83">
        <f t="shared" si="8"/>
        <v>9.6824583655185421</v>
      </c>
      <c r="AP83">
        <f t="shared" si="9"/>
        <v>-9.6824583655185421</v>
      </c>
    </row>
    <row r="84" spans="39:42" x14ac:dyDescent="0.25">
      <c r="AM84">
        <f t="shared" si="10"/>
        <v>76</v>
      </c>
      <c r="AN84">
        <f t="shared" si="7"/>
        <v>-2.3999999999999995</v>
      </c>
      <c r="AO84">
        <f t="shared" si="8"/>
        <v>9.7077288796092773</v>
      </c>
      <c r="AP84">
        <f t="shared" si="9"/>
        <v>-9.7077288796092773</v>
      </c>
    </row>
    <row r="85" spans="39:42" x14ac:dyDescent="0.25">
      <c r="AM85">
        <f t="shared" si="10"/>
        <v>77</v>
      </c>
      <c r="AN85">
        <f t="shared" si="7"/>
        <v>-2.2999999999999998</v>
      </c>
      <c r="AO85">
        <f t="shared" si="8"/>
        <v>9.7319062880814879</v>
      </c>
      <c r="AP85">
        <f t="shared" si="9"/>
        <v>-9.7319062880814879</v>
      </c>
    </row>
    <row r="86" spans="39:42" x14ac:dyDescent="0.25">
      <c r="AM86">
        <f t="shared" si="10"/>
        <v>78</v>
      </c>
      <c r="AN86">
        <f t="shared" si="7"/>
        <v>-2.1999999999999993</v>
      </c>
      <c r="AO86">
        <f t="shared" si="8"/>
        <v>9.7549987186057585</v>
      </c>
      <c r="AP86">
        <f t="shared" si="9"/>
        <v>-9.7549987186057585</v>
      </c>
    </row>
    <row r="87" spans="39:42" x14ac:dyDescent="0.25">
      <c r="AM87">
        <f t="shared" si="10"/>
        <v>79</v>
      </c>
      <c r="AN87">
        <f t="shared" si="7"/>
        <v>-2.0999999999999996</v>
      </c>
      <c r="AO87">
        <f t="shared" si="8"/>
        <v>9.7770138590471483</v>
      </c>
      <c r="AP87">
        <f t="shared" si="9"/>
        <v>-9.7770138590471483</v>
      </c>
    </row>
    <row r="88" spans="39:42" x14ac:dyDescent="0.25">
      <c r="AM88">
        <f t="shared" si="10"/>
        <v>80</v>
      </c>
      <c r="AN88">
        <f t="shared" si="7"/>
        <v>-2</v>
      </c>
      <c r="AO88">
        <f t="shared" si="8"/>
        <v>9.7979589711327115</v>
      </c>
      <c r="AP88">
        <f t="shared" si="9"/>
        <v>-9.7979589711327115</v>
      </c>
    </row>
    <row r="89" spans="39:42" x14ac:dyDescent="0.25">
      <c r="AM89">
        <f t="shared" si="10"/>
        <v>81</v>
      </c>
      <c r="AN89">
        <f t="shared" si="7"/>
        <v>-1.9000000000000004</v>
      </c>
      <c r="AO89">
        <f t="shared" si="8"/>
        <v>9.8178409031721436</v>
      </c>
      <c r="AP89">
        <f t="shared" si="9"/>
        <v>-9.8178409031721436</v>
      </c>
    </row>
    <row r="90" spans="39:42" x14ac:dyDescent="0.25">
      <c r="AM90">
        <f t="shared" si="10"/>
        <v>82</v>
      </c>
      <c r="AN90">
        <f t="shared" si="7"/>
        <v>-1.7999999999999989</v>
      </c>
      <c r="AO90">
        <f t="shared" si="8"/>
        <v>9.836666101886351</v>
      </c>
      <c r="AP90">
        <f t="shared" si="9"/>
        <v>-9.836666101886351</v>
      </c>
    </row>
    <row r="91" spans="39:42" x14ac:dyDescent="0.25">
      <c r="AM91">
        <f t="shared" si="10"/>
        <v>83</v>
      </c>
      <c r="AN91">
        <f t="shared" si="7"/>
        <v>-1.6999999999999993</v>
      </c>
      <c r="AO91">
        <f t="shared" si="8"/>
        <v>9.8544406233941046</v>
      </c>
      <c r="AP91">
        <f t="shared" si="9"/>
        <v>-9.8544406233941046</v>
      </c>
    </row>
    <row r="92" spans="39:42" x14ac:dyDescent="0.25">
      <c r="AM92">
        <f t="shared" si="10"/>
        <v>84</v>
      </c>
      <c r="AN92">
        <f t="shared" si="7"/>
        <v>-1.5999999999999996</v>
      </c>
      <c r="AO92">
        <f t="shared" si="8"/>
        <v>9.8711701434024519</v>
      </c>
      <c r="AP92">
        <f t="shared" si="9"/>
        <v>-9.8711701434024519</v>
      </c>
    </row>
    <row r="93" spans="39:42" x14ac:dyDescent="0.25">
      <c r="AM93">
        <f t="shared" si="10"/>
        <v>85</v>
      </c>
      <c r="AN93">
        <f t="shared" si="7"/>
        <v>-1.5</v>
      </c>
      <c r="AO93">
        <f t="shared" si="8"/>
        <v>9.8868599666425947</v>
      </c>
      <c r="AP93">
        <f t="shared" si="9"/>
        <v>-9.8868599666425947</v>
      </c>
    </row>
    <row r="94" spans="39:42" x14ac:dyDescent="0.25">
      <c r="AM94">
        <f t="shared" si="10"/>
        <v>86</v>
      </c>
      <c r="AN94">
        <f t="shared" si="7"/>
        <v>-1.4000000000000004</v>
      </c>
      <c r="AO94">
        <f t="shared" si="8"/>
        <v>9.9015150355892505</v>
      </c>
      <c r="AP94">
        <f t="shared" si="9"/>
        <v>-9.9015150355892505</v>
      </c>
    </row>
    <row r="95" spans="39:42" x14ac:dyDescent="0.25">
      <c r="AM95">
        <f t="shared" si="10"/>
        <v>87</v>
      </c>
      <c r="AN95">
        <f t="shared" si="7"/>
        <v>-1.2999999999999989</v>
      </c>
      <c r="AO95">
        <f t="shared" si="8"/>
        <v>9.9151399384980952</v>
      </c>
      <c r="AP95">
        <f t="shared" si="9"/>
        <v>-9.9151399384980952</v>
      </c>
    </row>
    <row r="96" spans="39:42" x14ac:dyDescent="0.25">
      <c r="AM96">
        <f t="shared" si="10"/>
        <v>88</v>
      </c>
      <c r="AN96">
        <f t="shared" si="7"/>
        <v>-1.1999999999999993</v>
      </c>
      <c r="AO96">
        <f t="shared" si="8"/>
        <v>9.9277389167926859</v>
      </c>
      <c r="AP96">
        <f t="shared" si="9"/>
        <v>-9.9277389167926859</v>
      </c>
    </row>
    <row r="97" spans="39:42" x14ac:dyDescent="0.25">
      <c r="AM97">
        <f t="shared" si="10"/>
        <v>89</v>
      </c>
      <c r="AN97">
        <f t="shared" si="7"/>
        <v>-1.0999999999999996</v>
      </c>
      <c r="AO97">
        <f t="shared" si="8"/>
        <v>9.9393158718294092</v>
      </c>
      <c r="AP97">
        <f t="shared" si="9"/>
        <v>-9.9393158718294092</v>
      </c>
    </row>
    <row r="98" spans="39:42" x14ac:dyDescent="0.25">
      <c r="AM98">
        <f t="shared" si="10"/>
        <v>90</v>
      </c>
      <c r="AN98">
        <f t="shared" si="7"/>
        <v>-1</v>
      </c>
      <c r="AO98">
        <f t="shared" si="8"/>
        <v>9.9498743710661994</v>
      </c>
      <c r="AP98">
        <f t="shared" si="9"/>
        <v>-9.9498743710661994</v>
      </c>
    </row>
    <row r="99" spans="39:42" x14ac:dyDescent="0.25">
      <c r="AM99">
        <f t="shared" si="10"/>
        <v>91</v>
      </c>
      <c r="AN99">
        <f t="shared" si="7"/>
        <v>-0.90000000000000036</v>
      </c>
      <c r="AO99">
        <f t="shared" si="8"/>
        <v>9.959417653658269</v>
      </c>
      <c r="AP99">
        <f t="shared" si="9"/>
        <v>-9.959417653658269</v>
      </c>
    </row>
    <row r="100" spans="39:42" x14ac:dyDescent="0.25">
      <c r="AM100">
        <f t="shared" si="10"/>
        <v>92</v>
      </c>
      <c r="AN100">
        <f t="shared" si="7"/>
        <v>-0.79999999999999893</v>
      </c>
      <c r="AO100">
        <f t="shared" si="8"/>
        <v>9.9679486355016902</v>
      </c>
      <c r="AP100">
        <f t="shared" si="9"/>
        <v>-9.9679486355016902</v>
      </c>
    </row>
    <row r="101" spans="39:42" x14ac:dyDescent="0.25">
      <c r="AM101">
        <f t="shared" si="10"/>
        <v>93</v>
      </c>
      <c r="AN101">
        <f t="shared" si="7"/>
        <v>-0.69999999999999929</v>
      </c>
      <c r="AO101">
        <f t="shared" si="8"/>
        <v>9.975469913743412</v>
      </c>
      <c r="AP101">
        <f t="shared" si="9"/>
        <v>-9.975469913743412</v>
      </c>
    </row>
    <row r="102" spans="39:42" x14ac:dyDescent="0.25">
      <c r="AM102">
        <f t="shared" si="10"/>
        <v>94</v>
      </c>
      <c r="AN102">
        <f t="shared" si="7"/>
        <v>-0.59999999999999964</v>
      </c>
      <c r="AO102">
        <f t="shared" si="8"/>
        <v>9.9819837707742245</v>
      </c>
      <c r="AP102">
        <f t="shared" si="9"/>
        <v>-9.9819837707742245</v>
      </c>
    </row>
    <row r="103" spans="39:42" x14ac:dyDescent="0.25">
      <c r="AM103">
        <f t="shared" si="10"/>
        <v>95</v>
      </c>
      <c r="AN103">
        <f t="shared" si="7"/>
        <v>-0.5</v>
      </c>
      <c r="AO103">
        <f t="shared" si="8"/>
        <v>9.9874921777190888</v>
      </c>
      <c r="AP103">
        <f t="shared" si="9"/>
        <v>-9.9874921777190888</v>
      </c>
    </row>
    <row r="104" spans="39:42" x14ac:dyDescent="0.25">
      <c r="AM104">
        <f t="shared" si="10"/>
        <v>96</v>
      </c>
      <c r="AN104">
        <f t="shared" si="7"/>
        <v>-0.39999999999999858</v>
      </c>
      <c r="AO104">
        <f t="shared" si="8"/>
        <v>9.9919967974374373</v>
      </c>
      <c r="AP104">
        <f t="shared" si="9"/>
        <v>-9.9919967974374373</v>
      </c>
    </row>
    <row r="105" spans="39:42" x14ac:dyDescent="0.25">
      <c r="AM105">
        <f t="shared" si="10"/>
        <v>97</v>
      </c>
      <c r="AN105">
        <f t="shared" si="7"/>
        <v>-0.29999999999999893</v>
      </c>
      <c r="AO105">
        <f t="shared" si="8"/>
        <v>9.9954989870441189</v>
      </c>
      <c r="AP105">
        <f t="shared" si="9"/>
        <v>-9.9954989870441189</v>
      </c>
    </row>
    <row r="106" spans="39:42" x14ac:dyDescent="0.25">
      <c r="AM106">
        <f t="shared" si="10"/>
        <v>98</v>
      </c>
      <c r="AN106">
        <f t="shared" si="7"/>
        <v>-0.19999999999999929</v>
      </c>
      <c r="AO106">
        <f t="shared" si="8"/>
        <v>9.9979997999599899</v>
      </c>
      <c r="AP106">
        <f t="shared" si="9"/>
        <v>-9.9979997999599899</v>
      </c>
    </row>
    <row r="107" spans="39:42" x14ac:dyDescent="0.25">
      <c r="AM107">
        <f t="shared" si="10"/>
        <v>99</v>
      </c>
      <c r="AN107">
        <f t="shared" si="7"/>
        <v>-9.9999999999999645E-2</v>
      </c>
      <c r="AO107">
        <f t="shared" si="8"/>
        <v>9.9994999874993749</v>
      </c>
      <c r="AP107">
        <f t="shared" si="9"/>
        <v>-9.9994999874993749</v>
      </c>
    </row>
    <row r="108" spans="39:42" x14ac:dyDescent="0.25">
      <c r="AM108">
        <f t="shared" si="10"/>
        <v>100</v>
      </c>
      <c r="AN108">
        <f t="shared" si="7"/>
        <v>0</v>
      </c>
      <c r="AO108">
        <f t="shared" si="8"/>
        <v>10</v>
      </c>
      <c r="AP108">
        <f t="shared" si="9"/>
        <v>-10</v>
      </c>
    </row>
    <row r="109" spans="39:42" x14ac:dyDescent="0.25">
      <c r="AM109">
        <f t="shared" si="10"/>
        <v>101</v>
      </c>
      <c r="AN109">
        <f t="shared" si="7"/>
        <v>0.10000000000000142</v>
      </c>
      <c r="AO109">
        <f t="shared" si="8"/>
        <v>9.9994999874993749</v>
      </c>
      <c r="AP109">
        <f t="shared" si="9"/>
        <v>-9.9994999874993749</v>
      </c>
    </row>
    <row r="110" spans="39:42" x14ac:dyDescent="0.25">
      <c r="AM110">
        <f t="shared" si="10"/>
        <v>102</v>
      </c>
      <c r="AN110">
        <f t="shared" si="7"/>
        <v>0.20000000000000107</v>
      </c>
      <c r="AO110">
        <f t="shared" si="8"/>
        <v>9.9979997999599899</v>
      </c>
      <c r="AP110">
        <f t="shared" si="9"/>
        <v>-9.9979997999599899</v>
      </c>
    </row>
    <row r="111" spans="39:42" x14ac:dyDescent="0.25">
      <c r="AM111">
        <f t="shared" si="10"/>
        <v>103</v>
      </c>
      <c r="AN111">
        <f t="shared" si="7"/>
        <v>0.30000000000000071</v>
      </c>
      <c r="AO111">
        <f t="shared" si="8"/>
        <v>9.9954989870441189</v>
      </c>
      <c r="AP111">
        <f t="shared" si="9"/>
        <v>-9.9954989870441189</v>
      </c>
    </row>
    <row r="112" spans="39:42" x14ac:dyDescent="0.25">
      <c r="AM112">
        <f t="shared" si="10"/>
        <v>104</v>
      </c>
      <c r="AN112">
        <f t="shared" si="7"/>
        <v>0.40000000000000036</v>
      </c>
      <c r="AO112">
        <f t="shared" si="8"/>
        <v>9.9919967974374373</v>
      </c>
      <c r="AP112">
        <f t="shared" si="9"/>
        <v>-9.9919967974374373</v>
      </c>
    </row>
    <row r="113" spans="39:42" x14ac:dyDescent="0.25">
      <c r="AM113">
        <f t="shared" si="10"/>
        <v>105</v>
      </c>
      <c r="AN113">
        <f t="shared" si="7"/>
        <v>0.5</v>
      </c>
      <c r="AO113">
        <f t="shared" si="8"/>
        <v>9.9874921777190888</v>
      </c>
      <c r="AP113">
        <f t="shared" si="9"/>
        <v>-9.9874921777190888</v>
      </c>
    </row>
    <row r="114" spans="39:42" x14ac:dyDescent="0.25">
      <c r="AM114">
        <f t="shared" si="10"/>
        <v>106</v>
      </c>
      <c r="AN114">
        <f t="shared" si="7"/>
        <v>0.60000000000000142</v>
      </c>
      <c r="AO114">
        <f t="shared" si="8"/>
        <v>9.9819837707742245</v>
      </c>
      <c r="AP114">
        <f t="shared" si="9"/>
        <v>-9.9819837707742245</v>
      </c>
    </row>
    <row r="115" spans="39:42" x14ac:dyDescent="0.25">
      <c r="AM115">
        <f t="shared" si="10"/>
        <v>107</v>
      </c>
      <c r="AN115">
        <f t="shared" si="7"/>
        <v>0.70000000000000107</v>
      </c>
      <c r="AO115">
        <f t="shared" si="8"/>
        <v>9.975469913743412</v>
      </c>
      <c r="AP115">
        <f t="shared" si="9"/>
        <v>-9.975469913743412</v>
      </c>
    </row>
    <row r="116" spans="39:42" x14ac:dyDescent="0.25">
      <c r="AM116">
        <f t="shared" si="10"/>
        <v>108</v>
      </c>
      <c r="AN116">
        <f t="shared" si="7"/>
        <v>0.80000000000000071</v>
      </c>
      <c r="AO116">
        <f t="shared" si="8"/>
        <v>9.9679486355016902</v>
      </c>
      <c r="AP116">
        <f t="shared" si="9"/>
        <v>-9.9679486355016902</v>
      </c>
    </row>
    <row r="117" spans="39:42" x14ac:dyDescent="0.25">
      <c r="AM117">
        <f t="shared" si="10"/>
        <v>109</v>
      </c>
      <c r="AN117">
        <f t="shared" si="7"/>
        <v>0.90000000000000036</v>
      </c>
      <c r="AO117">
        <f t="shared" si="8"/>
        <v>9.959417653658269</v>
      </c>
      <c r="AP117">
        <f t="shared" si="9"/>
        <v>-9.959417653658269</v>
      </c>
    </row>
    <row r="118" spans="39:42" x14ac:dyDescent="0.25">
      <c r="AM118">
        <f t="shared" si="10"/>
        <v>110</v>
      </c>
      <c r="AN118">
        <f t="shared" si="7"/>
        <v>1</v>
      </c>
      <c r="AO118">
        <f t="shared" si="8"/>
        <v>9.9498743710661994</v>
      </c>
      <c r="AP118">
        <f t="shared" si="9"/>
        <v>-9.9498743710661994</v>
      </c>
    </row>
    <row r="119" spans="39:42" x14ac:dyDescent="0.25">
      <c r="AM119">
        <f t="shared" si="10"/>
        <v>111</v>
      </c>
      <c r="AN119">
        <f t="shared" si="7"/>
        <v>1.1000000000000014</v>
      </c>
      <c r="AO119">
        <f t="shared" si="8"/>
        <v>9.9393158718294092</v>
      </c>
      <c r="AP119">
        <f t="shared" si="9"/>
        <v>-9.9393158718294092</v>
      </c>
    </row>
    <row r="120" spans="39:42" x14ac:dyDescent="0.25">
      <c r="AM120">
        <f t="shared" si="10"/>
        <v>112</v>
      </c>
      <c r="AN120">
        <f t="shared" si="7"/>
        <v>1.2000000000000011</v>
      </c>
      <c r="AO120">
        <f t="shared" si="8"/>
        <v>9.9277389167926859</v>
      </c>
      <c r="AP120">
        <f t="shared" si="9"/>
        <v>-9.9277389167926859</v>
      </c>
    </row>
    <row r="121" spans="39:42" x14ac:dyDescent="0.25">
      <c r="AM121">
        <f t="shared" si="10"/>
        <v>113</v>
      </c>
      <c r="AN121">
        <f t="shared" si="7"/>
        <v>1.3000000000000007</v>
      </c>
      <c r="AO121">
        <f t="shared" si="8"/>
        <v>9.9151399384980952</v>
      </c>
      <c r="AP121">
        <f t="shared" si="9"/>
        <v>-9.9151399384980952</v>
      </c>
    </row>
    <row r="122" spans="39:42" x14ac:dyDescent="0.25">
      <c r="AM122">
        <f t="shared" si="10"/>
        <v>114</v>
      </c>
      <c r="AN122">
        <f t="shared" si="7"/>
        <v>1.4000000000000004</v>
      </c>
      <c r="AO122">
        <f t="shared" si="8"/>
        <v>9.9015150355892505</v>
      </c>
      <c r="AP122">
        <f t="shared" si="9"/>
        <v>-9.9015150355892505</v>
      </c>
    </row>
    <row r="123" spans="39:42" x14ac:dyDescent="0.25">
      <c r="AM123">
        <f t="shared" si="10"/>
        <v>115</v>
      </c>
      <c r="AN123">
        <f t="shared" si="7"/>
        <v>1.5</v>
      </c>
      <c r="AO123">
        <f t="shared" si="8"/>
        <v>9.8868599666425947</v>
      </c>
      <c r="AP123">
        <f t="shared" si="9"/>
        <v>-9.8868599666425947</v>
      </c>
    </row>
    <row r="124" spans="39:42" x14ac:dyDescent="0.25">
      <c r="AM124">
        <f t="shared" si="10"/>
        <v>116</v>
      </c>
      <c r="AN124">
        <f t="shared" si="7"/>
        <v>1.6000000000000014</v>
      </c>
      <c r="AO124">
        <f t="shared" si="8"/>
        <v>9.8711701434024519</v>
      </c>
      <c r="AP124">
        <f t="shared" si="9"/>
        <v>-9.8711701434024519</v>
      </c>
    </row>
    <row r="125" spans="39:42" x14ac:dyDescent="0.25">
      <c r="AM125">
        <f t="shared" si="10"/>
        <v>117</v>
      </c>
      <c r="AN125">
        <f t="shared" si="7"/>
        <v>1.7000000000000011</v>
      </c>
      <c r="AO125">
        <f t="shared" si="8"/>
        <v>9.8544406233941046</v>
      </c>
      <c r="AP125">
        <f t="shared" si="9"/>
        <v>-9.8544406233941046</v>
      </c>
    </row>
    <row r="126" spans="39:42" x14ac:dyDescent="0.25">
      <c r="AM126">
        <f t="shared" si="10"/>
        <v>118</v>
      </c>
      <c r="AN126">
        <f t="shared" si="7"/>
        <v>1.8000000000000007</v>
      </c>
      <c r="AO126">
        <f t="shared" si="8"/>
        <v>9.8366661018863493</v>
      </c>
      <c r="AP126">
        <f t="shared" si="9"/>
        <v>-9.8366661018863493</v>
      </c>
    </row>
    <row r="127" spans="39:42" x14ac:dyDescent="0.25">
      <c r="AM127">
        <f t="shared" si="10"/>
        <v>119</v>
      </c>
      <c r="AN127">
        <f t="shared" si="7"/>
        <v>1.9000000000000004</v>
      </c>
      <c r="AO127">
        <f t="shared" si="8"/>
        <v>9.8178409031721436</v>
      </c>
      <c r="AP127">
        <f t="shared" si="9"/>
        <v>-9.8178409031721436</v>
      </c>
    </row>
    <row r="128" spans="39:42" x14ac:dyDescent="0.25">
      <c r="AM128">
        <f t="shared" si="10"/>
        <v>120</v>
      </c>
      <c r="AN128">
        <f t="shared" si="7"/>
        <v>2</v>
      </c>
      <c r="AO128">
        <f t="shared" si="8"/>
        <v>9.7979589711327115</v>
      </c>
      <c r="AP128">
        <f t="shared" si="9"/>
        <v>-9.7979589711327115</v>
      </c>
    </row>
    <row r="129" spans="39:42" x14ac:dyDescent="0.25">
      <c r="AM129">
        <f t="shared" si="10"/>
        <v>121</v>
      </c>
      <c r="AN129">
        <f t="shared" si="7"/>
        <v>2.1000000000000014</v>
      </c>
      <c r="AO129">
        <f t="shared" si="8"/>
        <v>9.7770138590471465</v>
      </c>
      <c r="AP129">
        <f t="shared" si="9"/>
        <v>-9.7770138590471465</v>
      </c>
    </row>
    <row r="130" spans="39:42" x14ac:dyDescent="0.25">
      <c r="AM130">
        <f t="shared" si="10"/>
        <v>122</v>
      </c>
      <c r="AN130">
        <f t="shared" si="7"/>
        <v>2.2000000000000011</v>
      </c>
      <c r="AO130">
        <f t="shared" si="8"/>
        <v>9.7549987186057585</v>
      </c>
      <c r="AP130">
        <f t="shared" si="9"/>
        <v>-9.7549987186057585</v>
      </c>
    </row>
    <row r="131" spans="39:42" x14ac:dyDescent="0.25">
      <c r="AM131">
        <f t="shared" si="10"/>
        <v>123</v>
      </c>
      <c r="AN131">
        <f t="shared" si="7"/>
        <v>2.3000000000000007</v>
      </c>
      <c r="AO131">
        <f t="shared" si="8"/>
        <v>9.7319062880814879</v>
      </c>
      <c r="AP131">
        <f t="shared" si="9"/>
        <v>-9.7319062880814879</v>
      </c>
    </row>
    <row r="132" spans="39:42" x14ac:dyDescent="0.25">
      <c r="AM132">
        <f t="shared" si="10"/>
        <v>124</v>
      </c>
      <c r="AN132">
        <f t="shared" si="7"/>
        <v>2.4000000000000004</v>
      </c>
      <c r="AO132">
        <f t="shared" si="8"/>
        <v>9.7077288796092773</v>
      </c>
      <c r="AP132">
        <f t="shared" si="9"/>
        <v>-9.7077288796092773</v>
      </c>
    </row>
    <row r="133" spans="39:42" x14ac:dyDescent="0.25">
      <c r="AM133">
        <f t="shared" si="10"/>
        <v>125</v>
      </c>
      <c r="AN133">
        <f t="shared" si="7"/>
        <v>2.5</v>
      </c>
      <c r="AO133">
        <f t="shared" si="8"/>
        <v>9.6824583655185421</v>
      </c>
      <c r="AP133">
        <f t="shared" si="9"/>
        <v>-9.6824583655185421</v>
      </c>
    </row>
    <row r="134" spans="39:42" x14ac:dyDescent="0.25">
      <c r="AM134">
        <f t="shared" si="10"/>
        <v>126</v>
      </c>
      <c r="AN134">
        <f t="shared" si="7"/>
        <v>2.6000000000000014</v>
      </c>
      <c r="AO134">
        <f t="shared" si="8"/>
        <v>9.6560861636586477</v>
      </c>
      <c r="AP134">
        <f t="shared" si="9"/>
        <v>-9.6560861636586477</v>
      </c>
    </row>
    <row r="135" spans="39:42" x14ac:dyDescent="0.25">
      <c r="AM135">
        <f t="shared" si="10"/>
        <v>127</v>
      </c>
      <c r="AN135">
        <f t="shared" si="7"/>
        <v>2.7000000000000011</v>
      </c>
      <c r="AO135">
        <f t="shared" si="8"/>
        <v>9.6286032216516215</v>
      </c>
      <c r="AP135">
        <f t="shared" si="9"/>
        <v>-9.6286032216516215</v>
      </c>
    </row>
    <row r="136" spans="39:42" x14ac:dyDescent="0.25">
      <c r="AM136">
        <f t="shared" si="10"/>
        <v>128</v>
      </c>
      <c r="AN136">
        <f t="shared" ref="AN136:AN199" si="11">-RCYCLE+AM136*STEP</f>
        <v>2.8000000000000007</v>
      </c>
      <c r="AO136">
        <f t="shared" ref="AO136:AO199" si="12">yc+SQRT(RCYCLE^2-(AN136-xc)^2)</f>
        <v>9.6</v>
      </c>
      <c r="AP136">
        <f t="shared" ref="AP136:AP199" si="13">yc-SQRT(RCYCLE^2-(AN136-xc)^2)</f>
        <v>-9.6</v>
      </c>
    </row>
    <row r="137" spans="39:42" x14ac:dyDescent="0.25">
      <c r="AM137">
        <f t="shared" si="10"/>
        <v>129</v>
      </c>
      <c r="AN137">
        <f t="shared" si="11"/>
        <v>2.9000000000000004</v>
      </c>
      <c r="AO137">
        <f t="shared" si="12"/>
        <v>9.5702664539708611</v>
      </c>
      <c r="AP137">
        <f t="shared" si="13"/>
        <v>-9.5702664539708611</v>
      </c>
    </row>
    <row r="138" spans="39:42" x14ac:dyDescent="0.25">
      <c r="AM138">
        <f t="shared" si="10"/>
        <v>130</v>
      </c>
      <c r="AN138">
        <f t="shared" si="11"/>
        <v>3</v>
      </c>
      <c r="AO138">
        <f t="shared" si="12"/>
        <v>9.5393920141694561</v>
      </c>
      <c r="AP138">
        <f t="shared" si="13"/>
        <v>-9.5393920141694561</v>
      </c>
    </row>
    <row r="139" spans="39:42" x14ac:dyDescent="0.25">
      <c r="AM139">
        <f t="shared" ref="AM139:AM202" si="14">AM138+1</f>
        <v>131</v>
      </c>
      <c r="AN139">
        <f t="shared" si="11"/>
        <v>3.1000000000000014</v>
      </c>
      <c r="AO139">
        <f t="shared" si="12"/>
        <v>9.5073655657074632</v>
      </c>
      <c r="AP139">
        <f t="shared" si="13"/>
        <v>-9.5073655657074632</v>
      </c>
    </row>
    <row r="140" spans="39:42" x14ac:dyDescent="0.25">
      <c r="AM140">
        <f t="shared" si="14"/>
        <v>132</v>
      </c>
      <c r="AN140">
        <f t="shared" si="11"/>
        <v>3.2000000000000011</v>
      </c>
      <c r="AO140">
        <f t="shared" si="12"/>
        <v>9.474175425861608</v>
      </c>
      <c r="AP140">
        <f t="shared" si="13"/>
        <v>-9.474175425861608</v>
      </c>
    </row>
    <row r="141" spans="39:42" x14ac:dyDescent="0.25">
      <c r="AM141">
        <f t="shared" si="14"/>
        <v>133</v>
      </c>
      <c r="AN141">
        <f t="shared" si="11"/>
        <v>3.3000000000000007</v>
      </c>
      <c r="AO141">
        <f t="shared" si="12"/>
        <v>9.4398093201081128</v>
      </c>
      <c r="AP141">
        <f t="shared" si="13"/>
        <v>-9.4398093201081128</v>
      </c>
    </row>
    <row r="142" spans="39:42" x14ac:dyDescent="0.25">
      <c r="AM142">
        <f t="shared" si="14"/>
        <v>134</v>
      </c>
      <c r="AN142">
        <f t="shared" si="11"/>
        <v>3.4000000000000004</v>
      </c>
      <c r="AO142">
        <f t="shared" si="12"/>
        <v>9.404254356406998</v>
      </c>
      <c r="AP142">
        <f t="shared" si="13"/>
        <v>-9.404254356406998</v>
      </c>
    </row>
    <row r="143" spans="39:42" x14ac:dyDescent="0.25">
      <c r="AM143">
        <f t="shared" si="14"/>
        <v>135</v>
      </c>
      <c r="AN143">
        <f t="shared" si="11"/>
        <v>3.5</v>
      </c>
      <c r="AO143">
        <f t="shared" si="12"/>
        <v>9.3674969975975966</v>
      </c>
      <c r="AP143">
        <f t="shared" si="13"/>
        <v>-9.3674969975975966</v>
      </c>
    </row>
    <row r="144" spans="39:42" x14ac:dyDescent="0.25">
      <c r="AM144">
        <f t="shared" si="14"/>
        <v>136</v>
      </c>
      <c r="AN144">
        <f t="shared" si="11"/>
        <v>3.6000000000000014</v>
      </c>
      <c r="AO144">
        <f t="shared" si="12"/>
        <v>9.3295230317524798</v>
      </c>
      <c r="AP144">
        <f t="shared" si="13"/>
        <v>-9.3295230317524798</v>
      </c>
    </row>
    <row r="145" spans="39:42" x14ac:dyDescent="0.25">
      <c r="AM145">
        <f t="shared" si="14"/>
        <v>137</v>
      </c>
      <c r="AN145">
        <f t="shared" si="11"/>
        <v>3.7000000000000011</v>
      </c>
      <c r="AO145">
        <f t="shared" si="12"/>
        <v>9.2903175403212135</v>
      </c>
      <c r="AP145">
        <f t="shared" si="13"/>
        <v>-9.2903175403212135</v>
      </c>
    </row>
    <row r="146" spans="39:42" x14ac:dyDescent="0.25">
      <c r="AM146">
        <f t="shared" si="14"/>
        <v>138</v>
      </c>
      <c r="AN146">
        <f t="shared" si="11"/>
        <v>3.8000000000000007</v>
      </c>
      <c r="AO146">
        <f t="shared" si="12"/>
        <v>9.2498648638777414</v>
      </c>
      <c r="AP146">
        <f t="shared" si="13"/>
        <v>-9.2498648638777414</v>
      </c>
    </row>
    <row r="147" spans="39:42" x14ac:dyDescent="0.25">
      <c r="AM147">
        <f t="shared" si="14"/>
        <v>139</v>
      </c>
      <c r="AN147">
        <f t="shared" si="11"/>
        <v>3.9000000000000004</v>
      </c>
      <c r="AO147">
        <f t="shared" si="12"/>
        <v>9.2081485652654411</v>
      </c>
      <c r="AP147">
        <f t="shared" si="13"/>
        <v>-9.2081485652654411</v>
      </c>
    </row>
    <row r="148" spans="39:42" x14ac:dyDescent="0.25">
      <c r="AM148">
        <f t="shared" si="14"/>
        <v>140</v>
      </c>
      <c r="AN148">
        <f t="shared" si="11"/>
        <v>4</v>
      </c>
      <c r="AO148">
        <f t="shared" si="12"/>
        <v>9.1651513899116797</v>
      </c>
      <c r="AP148">
        <f t="shared" si="13"/>
        <v>-9.1651513899116797</v>
      </c>
    </row>
    <row r="149" spans="39:42" x14ac:dyDescent="0.25">
      <c r="AM149">
        <f t="shared" si="14"/>
        <v>141</v>
      </c>
      <c r="AN149">
        <f t="shared" si="11"/>
        <v>4.1000000000000014</v>
      </c>
      <c r="AO149">
        <f t="shared" si="12"/>
        <v>9.1208552230588538</v>
      </c>
      <c r="AP149">
        <f t="shared" si="13"/>
        <v>-9.1208552230588538</v>
      </c>
    </row>
    <row r="150" spans="39:42" x14ac:dyDescent="0.25">
      <c r="AM150">
        <f t="shared" si="14"/>
        <v>142</v>
      </c>
      <c r="AN150">
        <f t="shared" si="11"/>
        <v>4.2000000000000011</v>
      </c>
      <c r="AO150">
        <f t="shared" si="12"/>
        <v>9.0752410436307418</v>
      </c>
      <c r="AP150">
        <f t="shared" si="13"/>
        <v>-9.0752410436307418</v>
      </c>
    </row>
    <row r="151" spans="39:42" x14ac:dyDescent="0.25">
      <c r="AM151">
        <f t="shared" si="14"/>
        <v>143</v>
      </c>
      <c r="AN151">
        <f t="shared" si="11"/>
        <v>4.3000000000000007</v>
      </c>
      <c r="AO151">
        <f t="shared" si="12"/>
        <v>9.0282888744213317</v>
      </c>
      <c r="AP151">
        <f t="shared" si="13"/>
        <v>-9.0282888744213317</v>
      </c>
    </row>
    <row r="152" spans="39:42" x14ac:dyDescent="0.25">
      <c r="AM152">
        <f t="shared" si="14"/>
        <v>144</v>
      </c>
      <c r="AN152">
        <f t="shared" si="11"/>
        <v>4.4000000000000004</v>
      </c>
      <c r="AO152">
        <f t="shared" si="12"/>
        <v>8.9799777282574595</v>
      </c>
      <c r="AP152">
        <f t="shared" si="13"/>
        <v>-8.9799777282574595</v>
      </c>
    </row>
    <row r="153" spans="39:42" x14ac:dyDescent="0.25">
      <c r="AM153">
        <f t="shared" si="14"/>
        <v>145</v>
      </c>
      <c r="AN153">
        <f t="shared" si="11"/>
        <v>4.5</v>
      </c>
      <c r="AO153">
        <f t="shared" si="12"/>
        <v>8.9302855497458751</v>
      </c>
      <c r="AP153">
        <f t="shared" si="13"/>
        <v>-8.9302855497458751</v>
      </c>
    </row>
    <row r="154" spans="39:42" x14ac:dyDescent="0.25">
      <c r="AM154">
        <f t="shared" si="14"/>
        <v>146</v>
      </c>
      <c r="AN154">
        <f t="shared" si="11"/>
        <v>4.6000000000000014</v>
      </c>
      <c r="AO154">
        <f t="shared" si="12"/>
        <v>8.8791891521692445</v>
      </c>
      <c r="AP154">
        <f t="shared" si="13"/>
        <v>-8.8791891521692445</v>
      </c>
    </row>
    <row r="155" spans="39:42" x14ac:dyDescent="0.25">
      <c r="AM155">
        <f t="shared" si="14"/>
        <v>147</v>
      </c>
      <c r="AN155">
        <f t="shared" si="11"/>
        <v>4.7000000000000011</v>
      </c>
      <c r="AO155">
        <f t="shared" si="12"/>
        <v>8.8266641490429443</v>
      </c>
      <c r="AP155">
        <f t="shared" si="13"/>
        <v>-8.8266641490429443</v>
      </c>
    </row>
    <row r="156" spans="39:42" x14ac:dyDescent="0.25">
      <c r="AM156">
        <f t="shared" si="14"/>
        <v>148</v>
      </c>
      <c r="AN156">
        <f t="shared" si="11"/>
        <v>4.8000000000000007</v>
      </c>
      <c r="AO156">
        <f t="shared" si="12"/>
        <v>8.7726848797845225</v>
      </c>
      <c r="AP156">
        <f t="shared" si="13"/>
        <v>-8.7726848797845225</v>
      </c>
    </row>
    <row r="157" spans="39:42" x14ac:dyDescent="0.25">
      <c r="AM157">
        <f t="shared" si="14"/>
        <v>149</v>
      </c>
      <c r="AN157">
        <f t="shared" si="11"/>
        <v>4.9000000000000004</v>
      </c>
      <c r="AO157">
        <f t="shared" si="12"/>
        <v>8.7172243288790039</v>
      </c>
      <c r="AP157">
        <f t="shared" si="13"/>
        <v>-8.7172243288790039</v>
      </c>
    </row>
    <row r="158" spans="39:42" x14ac:dyDescent="0.25">
      <c r="AM158">
        <f t="shared" si="14"/>
        <v>150</v>
      </c>
      <c r="AN158">
        <f t="shared" si="11"/>
        <v>5</v>
      </c>
      <c r="AO158">
        <f t="shared" si="12"/>
        <v>8.6602540378443873</v>
      </c>
      <c r="AP158">
        <f t="shared" si="13"/>
        <v>-8.6602540378443873</v>
      </c>
    </row>
    <row r="159" spans="39:42" x14ac:dyDescent="0.25">
      <c r="AM159">
        <f t="shared" si="14"/>
        <v>151</v>
      </c>
      <c r="AN159">
        <f t="shared" si="11"/>
        <v>5.1000000000000014</v>
      </c>
      <c r="AO159">
        <f t="shared" si="12"/>
        <v>8.6017440092111546</v>
      </c>
      <c r="AP159">
        <f t="shared" si="13"/>
        <v>-8.6017440092111546</v>
      </c>
    </row>
    <row r="160" spans="39:42" x14ac:dyDescent="0.25">
      <c r="AM160">
        <f t="shared" si="14"/>
        <v>152</v>
      </c>
      <c r="AN160">
        <f t="shared" si="11"/>
        <v>5.2000000000000011</v>
      </c>
      <c r="AO160">
        <f t="shared" si="12"/>
        <v>8.541662601625049</v>
      </c>
      <c r="AP160">
        <f t="shared" si="13"/>
        <v>-8.541662601625049</v>
      </c>
    </row>
    <row r="161" spans="39:42" x14ac:dyDescent="0.25">
      <c r="AM161">
        <f t="shared" si="14"/>
        <v>153</v>
      </c>
      <c r="AN161">
        <f t="shared" si="11"/>
        <v>5.3000000000000007</v>
      </c>
      <c r="AO161">
        <f t="shared" si="12"/>
        <v>8.4799764150615413</v>
      </c>
      <c r="AP161">
        <f t="shared" si="13"/>
        <v>-8.4799764150615413</v>
      </c>
    </row>
    <row r="162" spans="39:42" x14ac:dyDescent="0.25">
      <c r="AM162">
        <f t="shared" si="14"/>
        <v>154</v>
      </c>
      <c r="AN162">
        <f t="shared" si="11"/>
        <v>5.4</v>
      </c>
      <c r="AO162">
        <f t="shared" si="12"/>
        <v>8.4166501650003251</v>
      </c>
      <c r="AP162">
        <f t="shared" si="13"/>
        <v>-8.4166501650003251</v>
      </c>
    </row>
    <row r="163" spans="39:42" x14ac:dyDescent="0.25">
      <c r="AM163">
        <f t="shared" si="14"/>
        <v>155</v>
      </c>
      <c r="AN163">
        <f t="shared" si="11"/>
        <v>5.5</v>
      </c>
      <c r="AO163">
        <f t="shared" si="12"/>
        <v>8.3516465442450336</v>
      </c>
      <c r="AP163">
        <f t="shared" si="13"/>
        <v>-8.3516465442450336</v>
      </c>
    </row>
    <row r="164" spans="39:42" x14ac:dyDescent="0.25">
      <c r="AM164">
        <f t="shared" si="14"/>
        <v>156</v>
      </c>
      <c r="AN164">
        <f t="shared" si="11"/>
        <v>5.6000000000000014</v>
      </c>
      <c r="AO164">
        <f t="shared" si="12"/>
        <v>8.2849260708831913</v>
      </c>
      <c r="AP164">
        <f t="shared" si="13"/>
        <v>-8.2849260708831913</v>
      </c>
    </row>
    <row r="165" spans="39:42" x14ac:dyDescent="0.25">
      <c r="AM165">
        <f t="shared" si="14"/>
        <v>157</v>
      </c>
      <c r="AN165">
        <f t="shared" si="11"/>
        <v>5.7000000000000011</v>
      </c>
      <c r="AO165">
        <f t="shared" si="12"/>
        <v>8.2164469206585871</v>
      </c>
      <c r="AP165">
        <f t="shared" si="13"/>
        <v>-8.2164469206585871</v>
      </c>
    </row>
    <row r="166" spans="39:42" x14ac:dyDescent="0.25">
      <c r="AM166">
        <f t="shared" si="14"/>
        <v>158</v>
      </c>
      <c r="AN166">
        <f t="shared" si="11"/>
        <v>5.8000000000000007</v>
      </c>
      <c r="AO166">
        <f t="shared" si="12"/>
        <v>8.1461647417665191</v>
      </c>
      <c r="AP166">
        <f t="shared" si="13"/>
        <v>-8.1461647417665191</v>
      </c>
    </row>
    <row r="167" spans="39:42" x14ac:dyDescent="0.25">
      <c r="AM167">
        <f t="shared" si="14"/>
        <v>159</v>
      </c>
      <c r="AN167">
        <f t="shared" si="11"/>
        <v>5.9</v>
      </c>
      <c r="AO167">
        <f t="shared" si="12"/>
        <v>8.0740324497737799</v>
      </c>
      <c r="AP167">
        <f t="shared" si="13"/>
        <v>-8.0740324497737799</v>
      </c>
    </row>
    <row r="168" spans="39:42" x14ac:dyDescent="0.25">
      <c r="AM168">
        <f t="shared" si="14"/>
        <v>160</v>
      </c>
      <c r="AN168">
        <f t="shared" si="11"/>
        <v>6</v>
      </c>
      <c r="AO168">
        <f t="shared" si="12"/>
        <v>8</v>
      </c>
      <c r="AP168">
        <f t="shared" si="13"/>
        <v>-8</v>
      </c>
    </row>
    <row r="169" spans="39:42" x14ac:dyDescent="0.25">
      <c r="AM169">
        <f t="shared" si="14"/>
        <v>161</v>
      </c>
      <c r="AN169">
        <f t="shared" si="11"/>
        <v>6.1000000000000014</v>
      </c>
      <c r="AO169">
        <f t="shared" si="12"/>
        <v>7.9240141342630119</v>
      </c>
      <c r="AP169">
        <f t="shared" si="13"/>
        <v>-7.9240141342630119</v>
      </c>
    </row>
    <row r="170" spans="39:42" x14ac:dyDescent="0.25">
      <c r="AM170">
        <f t="shared" si="14"/>
        <v>162</v>
      </c>
      <c r="AN170">
        <f t="shared" si="11"/>
        <v>6.1999999999999993</v>
      </c>
      <c r="AO170">
        <f t="shared" si="12"/>
        <v>7.8460180983732126</v>
      </c>
      <c r="AP170">
        <f t="shared" si="13"/>
        <v>-7.8460180983732126</v>
      </c>
    </row>
    <row r="171" spans="39:42" x14ac:dyDescent="0.25">
      <c r="AM171">
        <f t="shared" si="14"/>
        <v>163</v>
      </c>
      <c r="AN171">
        <f t="shared" si="11"/>
        <v>6.3000000000000007</v>
      </c>
      <c r="AO171">
        <f t="shared" si="12"/>
        <v>7.7659513261415682</v>
      </c>
      <c r="AP171">
        <f t="shared" si="13"/>
        <v>-7.7659513261415682</v>
      </c>
    </row>
    <row r="172" spans="39:42" x14ac:dyDescent="0.25">
      <c r="AM172">
        <f t="shared" si="14"/>
        <v>164</v>
      </c>
      <c r="AN172">
        <f t="shared" si="11"/>
        <v>6.4000000000000021</v>
      </c>
      <c r="AO172">
        <f t="shared" si="12"/>
        <v>7.6837490849194161</v>
      </c>
      <c r="AP172">
        <f t="shared" si="13"/>
        <v>-7.6837490849194161</v>
      </c>
    </row>
    <row r="173" spans="39:42" x14ac:dyDescent="0.25">
      <c r="AM173">
        <f t="shared" si="14"/>
        <v>165</v>
      </c>
      <c r="AN173">
        <f t="shared" si="11"/>
        <v>6.5</v>
      </c>
      <c r="AO173">
        <f t="shared" si="12"/>
        <v>7.5993420767853319</v>
      </c>
      <c r="AP173">
        <f t="shared" si="13"/>
        <v>-7.5993420767853319</v>
      </c>
    </row>
    <row r="174" spans="39:42" x14ac:dyDescent="0.25">
      <c r="AM174">
        <f t="shared" si="14"/>
        <v>166</v>
      </c>
      <c r="AN174">
        <f t="shared" si="11"/>
        <v>6.6000000000000014</v>
      </c>
      <c r="AO174">
        <f t="shared" si="12"/>
        <v>7.512655988397178</v>
      </c>
      <c r="AP174">
        <f t="shared" si="13"/>
        <v>-7.512655988397178</v>
      </c>
    </row>
    <row r="175" spans="39:42" x14ac:dyDescent="0.25">
      <c r="AM175">
        <f t="shared" si="14"/>
        <v>167</v>
      </c>
      <c r="AN175">
        <f t="shared" si="11"/>
        <v>6.6999999999999993</v>
      </c>
      <c r="AO175">
        <f t="shared" si="12"/>
        <v>7.4236109811869859</v>
      </c>
      <c r="AP175">
        <f t="shared" si="13"/>
        <v>-7.4236109811869859</v>
      </c>
    </row>
    <row r="176" spans="39:42" x14ac:dyDescent="0.25">
      <c r="AM176">
        <f t="shared" si="14"/>
        <v>168</v>
      </c>
      <c r="AN176">
        <f t="shared" si="11"/>
        <v>6.8000000000000007</v>
      </c>
      <c r="AO176">
        <f t="shared" si="12"/>
        <v>7.332121111929343</v>
      </c>
      <c r="AP176">
        <f t="shared" si="13"/>
        <v>-7.332121111929343</v>
      </c>
    </row>
    <row r="177" spans="39:42" x14ac:dyDescent="0.25">
      <c r="AM177">
        <f t="shared" si="14"/>
        <v>169</v>
      </c>
      <c r="AN177">
        <f t="shared" si="11"/>
        <v>6.9000000000000021</v>
      </c>
      <c r="AO177">
        <f t="shared" si="12"/>
        <v>7.2380936716790263</v>
      </c>
      <c r="AP177">
        <f t="shared" si="13"/>
        <v>-7.2380936716790263</v>
      </c>
    </row>
    <row r="178" spans="39:42" x14ac:dyDescent="0.25">
      <c r="AM178">
        <f t="shared" si="14"/>
        <v>170</v>
      </c>
      <c r="AN178">
        <f t="shared" si="11"/>
        <v>7</v>
      </c>
      <c r="AO178">
        <f t="shared" si="12"/>
        <v>7.1414284285428504</v>
      </c>
      <c r="AP178">
        <f t="shared" si="13"/>
        <v>-7.1414284285428504</v>
      </c>
    </row>
    <row r="179" spans="39:42" x14ac:dyDescent="0.25">
      <c r="AM179">
        <f t="shared" si="14"/>
        <v>171</v>
      </c>
      <c r="AN179">
        <f t="shared" si="11"/>
        <v>7.1000000000000014</v>
      </c>
      <c r="AO179">
        <f t="shared" si="12"/>
        <v>7.0420167565833003</v>
      </c>
      <c r="AP179">
        <f t="shared" si="13"/>
        <v>-7.0420167565833003</v>
      </c>
    </row>
    <row r="180" spans="39:42" x14ac:dyDescent="0.25">
      <c r="AM180">
        <f t="shared" si="14"/>
        <v>172</v>
      </c>
      <c r="AN180">
        <f t="shared" si="11"/>
        <v>7.1999999999999993</v>
      </c>
      <c r="AO180">
        <f t="shared" si="12"/>
        <v>6.9397406291589894</v>
      </c>
      <c r="AP180">
        <f t="shared" si="13"/>
        <v>-6.9397406291589894</v>
      </c>
    </row>
    <row r="181" spans="39:42" x14ac:dyDescent="0.25">
      <c r="AM181">
        <f t="shared" si="14"/>
        <v>173</v>
      </c>
      <c r="AN181">
        <f t="shared" si="11"/>
        <v>7.3000000000000007</v>
      </c>
      <c r="AO181">
        <f t="shared" si="12"/>
        <v>6.834471449936709</v>
      </c>
      <c r="AP181">
        <f t="shared" si="13"/>
        <v>-6.834471449936709</v>
      </c>
    </row>
    <row r="182" spans="39:42" x14ac:dyDescent="0.25">
      <c r="AM182">
        <f t="shared" si="14"/>
        <v>174</v>
      </c>
      <c r="AN182">
        <f t="shared" si="11"/>
        <v>7.4000000000000021</v>
      </c>
      <c r="AO182">
        <f t="shared" si="12"/>
        <v>6.7260686883200922</v>
      </c>
      <c r="AP182">
        <f t="shared" si="13"/>
        <v>-6.7260686883200922</v>
      </c>
    </row>
    <row r="183" spans="39:42" x14ac:dyDescent="0.25">
      <c r="AM183">
        <f t="shared" si="14"/>
        <v>175</v>
      </c>
      <c r="AN183">
        <f t="shared" si="11"/>
        <v>7.5</v>
      </c>
      <c r="AO183">
        <f t="shared" si="12"/>
        <v>6.6143782776614763</v>
      </c>
      <c r="AP183">
        <f t="shared" si="13"/>
        <v>-6.6143782776614763</v>
      </c>
    </row>
    <row r="184" spans="39:42" x14ac:dyDescent="0.25">
      <c r="AM184">
        <f t="shared" si="14"/>
        <v>176</v>
      </c>
      <c r="AN184">
        <f t="shared" si="11"/>
        <v>7.6000000000000014</v>
      </c>
      <c r="AO184">
        <f t="shared" si="12"/>
        <v>6.4992307237087665</v>
      </c>
      <c r="AP184">
        <f t="shared" si="13"/>
        <v>-6.4992307237087665</v>
      </c>
    </row>
    <row r="185" spans="39:42" x14ac:dyDescent="0.25">
      <c r="AM185">
        <f t="shared" si="14"/>
        <v>177</v>
      </c>
      <c r="AN185">
        <f t="shared" si="11"/>
        <v>7.6999999999999993</v>
      </c>
      <c r="AO185">
        <f t="shared" si="12"/>
        <v>6.3804388563797092</v>
      </c>
      <c r="AP185">
        <f t="shared" si="13"/>
        <v>-6.3804388563797092</v>
      </c>
    </row>
    <row r="186" spans="39:42" x14ac:dyDescent="0.25">
      <c r="AM186">
        <f t="shared" si="14"/>
        <v>178</v>
      </c>
      <c r="AN186">
        <f t="shared" si="11"/>
        <v>7.8000000000000007</v>
      </c>
      <c r="AO186">
        <f t="shared" si="12"/>
        <v>6.2577951388648057</v>
      </c>
      <c r="AP186">
        <f t="shared" si="13"/>
        <v>-6.2577951388648057</v>
      </c>
    </row>
    <row r="187" spans="39:42" x14ac:dyDescent="0.25">
      <c r="AM187">
        <f t="shared" si="14"/>
        <v>179</v>
      </c>
      <c r="AN187">
        <f t="shared" si="11"/>
        <v>7.9000000000000021</v>
      </c>
      <c r="AO187">
        <f t="shared" si="12"/>
        <v>6.1310684223877301</v>
      </c>
      <c r="AP187">
        <f t="shared" si="13"/>
        <v>-6.1310684223877301</v>
      </c>
    </row>
    <row r="188" spans="39:42" x14ac:dyDescent="0.25">
      <c r="AM188">
        <f t="shared" si="14"/>
        <v>180</v>
      </c>
      <c r="AN188">
        <f t="shared" si="11"/>
        <v>8</v>
      </c>
      <c r="AO188">
        <f t="shared" si="12"/>
        <v>6</v>
      </c>
      <c r="AP188">
        <f t="shared" si="13"/>
        <v>-6</v>
      </c>
    </row>
    <row r="189" spans="39:42" x14ac:dyDescent="0.25">
      <c r="AM189">
        <f t="shared" si="14"/>
        <v>181</v>
      </c>
      <c r="AN189">
        <f t="shared" si="11"/>
        <v>8.1000000000000014</v>
      </c>
      <c r="AO189">
        <f t="shared" si="12"/>
        <v>5.8642987645582973</v>
      </c>
      <c r="AP189">
        <f t="shared" si="13"/>
        <v>-5.8642987645582973</v>
      </c>
    </row>
    <row r="190" spans="39:42" x14ac:dyDescent="0.25">
      <c r="AM190">
        <f t="shared" si="14"/>
        <v>182</v>
      </c>
      <c r="AN190">
        <f t="shared" si="11"/>
        <v>8.1999999999999993</v>
      </c>
      <c r="AO190">
        <f t="shared" si="12"/>
        <v>5.7236352085016744</v>
      </c>
      <c r="AP190">
        <f t="shared" si="13"/>
        <v>-5.7236352085016744</v>
      </c>
    </row>
    <row r="191" spans="39:42" x14ac:dyDescent="0.25">
      <c r="AM191">
        <f t="shared" si="14"/>
        <v>183</v>
      </c>
      <c r="AN191">
        <f t="shared" si="11"/>
        <v>8.3000000000000007</v>
      </c>
      <c r="AO191">
        <f t="shared" si="12"/>
        <v>5.5776339069537348</v>
      </c>
      <c r="AP191">
        <f t="shared" si="13"/>
        <v>-5.5776339069537348</v>
      </c>
    </row>
    <row r="192" spans="39:42" x14ac:dyDescent="0.25">
      <c r="AM192">
        <f t="shared" si="14"/>
        <v>184</v>
      </c>
      <c r="AN192">
        <f t="shared" si="11"/>
        <v>8.4000000000000021</v>
      </c>
      <c r="AO192">
        <f t="shared" si="12"/>
        <v>5.4258639865002118</v>
      </c>
      <c r="AP192">
        <f t="shared" si="13"/>
        <v>-5.4258639865002118</v>
      </c>
    </row>
    <row r="193" spans="39:42" x14ac:dyDescent="0.25">
      <c r="AM193">
        <f t="shared" si="14"/>
        <v>185</v>
      </c>
      <c r="AN193">
        <f t="shared" si="11"/>
        <v>8.5</v>
      </c>
      <c r="AO193">
        <f t="shared" si="12"/>
        <v>5.2678268764263692</v>
      </c>
      <c r="AP193">
        <f t="shared" si="13"/>
        <v>-5.2678268764263692</v>
      </c>
    </row>
    <row r="194" spans="39:42" x14ac:dyDescent="0.25">
      <c r="AM194">
        <f t="shared" si="14"/>
        <v>186</v>
      </c>
      <c r="AN194">
        <f t="shared" si="11"/>
        <v>8.6000000000000014</v>
      </c>
      <c r="AO194">
        <f t="shared" si="12"/>
        <v>5.1029403288692272</v>
      </c>
      <c r="AP194">
        <f t="shared" si="13"/>
        <v>-5.1029403288692272</v>
      </c>
    </row>
    <row r="195" spans="39:42" x14ac:dyDescent="0.25">
      <c r="AM195">
        <f t="shared" si="14"/>
        <v>187</v>
      </c>
      <c r="AN195">
        <f t="shared" si="11"/>
        <v>8.6999999999999993</v>
      </c>
      <c r="AO195">
        <f t="shared" si="12"/>
        <v>4.9305172142484217</v>
      </c>
      <c r="AP195">
        <f t="shared" si="13"/>
        <v>-4.9305172142484217</v>
      </c>
    </row>
    <row r="196" spans="39:42" x14ac:dyDescent="0.25">
      <c r="AM196">
        <f t="shared" si="14"/>
        <v>188</v>
      </c>
      <c r="AN196">
        <f t="shared" si="11"/>
        <v>8.8000000000000007</v>
      </c>
      <c r="AO196">
        <f t="shared" si="12"/>
        <v>4.7497368348151658</v>
      </c>
      <c r="AP196">
        <f t="shared" si="13"/>
        <v>-4.7497368348151658</v>
      </c>
    </row>
    <row r="197" spans="39:42" x14ac:dyDescent="0.25">
      <c r="AM197">
        <f t="shared" si="14"/>
        <v>189</v>
      </c>
      <c r="AN197">
        <f t="shared" si="11"/>
        <v>8.9000000000000021</v>
      </c>
      <c r="AO197">
        <f t="shared" si="12"/>
        <v>4.5596052460711949</v>
      </c>
      <c r="AP197">
        <f t="shared" si="13"/>
        <v>-4.5596052460711949</v>
      </c>
    </row>
    <row r="198" spans="39:42" x14ac:dyDescent="0.25">
      <c r="AM198">
        <f t="shared" si="14"/>
        <v>190</v>
      </c>
      <c r="AN198">
        <f t="shared" si="11"/>
        <v>9</v>
      </c>
      <c r="AO198">
        <f t="shared" si="12"/>
        <v>4.358898943540674</v>
      </c>
      <c r="AP198">
        <f t="shared" si="13"/>
        <v>-4.358898943540674</v>
      </c>
    </row>
    <row r="199" spans="39:42" x14ac:dyDescent="0.25">
      <c r="AM199">
        <f t="shared" si="14"/>
        <v>191</v>
      </c>
      <c r="AN199">
        <f t="shared" si="11"/>
        <v>9.1000000000000014</v>
      </c>
      <c r="AO199">
        <f t="shared" si="12"/>
        <v>4.1460824883255727</v>
      </c>
      <c r="AP199">
        <f t="shared" si="13"/>
        <v>-4.1460824883255727</v>
      </c>
    </row>
    <row r="200" spans="39:42" x14ac:dyDescent="0.25">
      <c r="AM200">
        <f t="shared" si="14"/>
        <v>192</v>
      </c>
      <c r="AN200">
        <f t="shared" ref="AN200:AN209" si="15">-RCYCLE+AM200*STEP</f>
        <v>9.2000000000000028</v>
      </c>
      <c r="AO200">
        <f t="shared" ref="AO200:AO209" si="16">yc+SQRT(RCYCLE^2-(AN200-xc)^2)</f>
        <v>3.9191835884530777</v>
      </c>
      <c r="AP200">
        <f t="shared" ref="AP200:AP209" si="17">yc-SQRT(RCYCLE^2-(AN200-xc)^2)</f>
        <v>-3.9191835884530777</v>
      </c>
    </row>
    <row r="201" spans="39:42" x14ac:dyDescent="0.25">
      <c r="AM201">
        <f t="shared" si="14"/>
        <v>193</v>
      </c>
      <c r="AN201">
        <f t="shared" si="15"/>
        <v>9.3000000000000007</v>
      </c>
      <c r="AO201">
        <f t="shared" si="16"/>
        <v>3.6755951898978201</v>
      </c>
      <c r="AP201">
        <f t="shared" si="17"/>
        <v>-3.6755951898978201</v>
      </c>
    </row>
    <row r="202" spans="39:42" x14ac:dyDescent="0.25">
      <c r="AM202">
        <f t="shared" si="14"/>
        <v>194</v>
      </c>
      <c r="AN202">
        <f t="shared" si="15"/>
        <v>9.4000000000000021</v>
      </c>
      <c r="AO202">
        <f t="shared" si="16"/>
        <v>3.4117444218463899</v>
      </c>
      <c r="AP202">
        <f t="shared" si="17"/>
        <v>-3.4117444218463899</v>
      </c>
    </row>
    <row r="203" spans="39:42" x14ac:dyDescent="0.25">
      <c r="AM203">
        <f t="shared" ref="AM203:AM209" si="18">AM202+1</f>
        <v>195</v>
      </c>
      <c r="AN203">
        <f t="shared" si="15"/>
        <v>9.5</v>
      </c>
      <c r="AO203">
        <f t="shared" si="16"/>
        <v>3.1224989991991992</v>
      </c>
      <c r="AP203">
        <f t="shared" si="17"/>
        <v>-3.1224989991991992</v>
      </c>
    </row>
    <row r="204" spans="39:42" x14ac:dyDescent="0.25">
      <c r="AM204">
        <f t="shared" si="18"/>
        <v>196</v>
      </c>
      <c r="AN204">
        <f t="shared" si="15"/>
        <v>9.6000000000000014</v>
      </c>
      <c r="AO204">
        <f t="shared" si="16"/>
        <v>2.7999999999999954</v>
      </c>
      <c r="AP204">
        <f t="shared" si="17"/>
        <v>-2.7999999999999954</v>
      </c>
    </row>
    <row r="205" spans="39:42" x14ac:dyDescent="0.25">
      <c r="AM205">
        <f t="shared" si="18"/>
        <v>197</v>
      </c>
      <c r="AN205">
        <f t="shared" si="15"/>
        <v>9.7000000000000028</v>
      </c>
      <c r="AO205">
        <f t="shared" si="16"/>
        <v>2.4310491562286312</v>
      </c>
      <c r="AP205">
        <f t="shared" si="17"/>
        <v>-2.4310491562286312</v>
      </c>
    </row>
    <row r="206" spans="39:42" x14ac:dyDescent="0.25">
      <c r="AM206">
        <f t="shared" si="18"/>
        <v>198</v>
      </c>
      <c r="AN206">
        <f t="shared" si="15"/>
        <v>9.8000000000000007</v>
      </c>
      <c r="AO206">
        <f t="shared" si="16"/>
        <v>1.9899748742132348</v>
      </c>
      <c r="AP206">
        <f t="shared" si="17"/>
        <v>-1.9899748742132348</v>
      </c>
    </row>
    <row r="207" spans="39:42" x14ac:dyDescent="0.25">
      <c r="AM207">
        <f t="shared" si="18"/>
        <v>199</v>
      </c>
      <c r="AN207">
        <f t="shared" si="15"/>
        <v>9.9000000000000021</v>
      </c>
      <c r="AO207">
        <f t="shared" si="16"/>
        <v>1.4106735979665714</v>
      </c>
      <c r="AP207">
        <f t="shared" si="17"/>
        <v>-1.4106735979665714</v>
      </c>
    </row>
    <row r="208" spans="39:42" x14ac:dyDescent="0.25">
      <c r="AM208">
        <f t="shared" si="18"/>
        <v>200</v>
      </c>
      <c r="AN208">
        <f t="shared" si="15"/>
        <v>10</v>
      </c>
      <c r="AO208">
        <f t="shared" si="16"/>
        <v>0</v>
      </c>
      <c r="AP208">
        <f t="shared" si="17"/>
        <v>0</v>
      </c>
    </row>
    <row r="209" spans="39:42" x14ac:dyDescent="0.25">
      <c r="AM209">
        <f t="shared" si="18"/>
        <v>201</v>
      </c>
      <c r="AN209">
        <f t="shared" si="15"/>
        <v>10.100000000000001</v>
      </c>
      <c r="AO209" t="e">
        <f t="shared" si="16"/>
        <v>#NUM!</v>
      </c>
      <c r="AP209" t="e">
        <f t="shared" si="17"/>
        <v>#NUM!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1071" r:id="rId4">
          <objectPr defaultSize="0" autoPict="0" r:id="rId5">
            <anchor moveWithCells="1" sizeWithCells="1">
              <from>
                <xdr:col>27</xdr:col>
                <xdr:colOff>571500</xdr:colOff>
                <xdr:row>21</xdr:row>
                <xdr:rowOff>238125</xdr:rowOff>
              </from>
              <to>
                <xdr:col>29</xdr:col>
                <xdr:colOff>495300</xdr:colOff>
                <xdr:row>23</xdr:row>
                <xdr:rowOff>190500</xdr:rowOff>
              </to>
            </anchor>
          </objectPr>
        </oleObject>
      </mc:Choice>
      <mc:Fallback>
        <oleObject progId="Equation.3" shapeId="1071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6" name="Scroll Bar 10">
              <controlPr defaultSize="0" autoPict="0">
                <anchor moveWithCells="1">
                  <from>
                    <xdr:col>1</xdr:col>
                    <xdr:colOff>504825</xdr:colOff>
                    <xdr:row>22</xdr:row>
                    <xdr:rowOff>180975</xdr:rowOff>
                  </from>
                  <to>
                    <xdr:col>5</xdr:col>
                    <xdr:colOff>142875</xdr:colOff>
                    <xdr:row>23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Φύλλο1"/>
  <dimension ref="A1:CG188"/>
  <sheetViews>
    <sheetView zoomScale="80" zoomScaleNormal="80" workbookViewId="0">
      <selection activeCell="E1" sqref="E1"/>
    </sheetView>
  </sheetViews>
  <sheetFormatPr defaultRowHeight="15" x14ac:dyDescent="0.25"/>
  <cols>
    <col min="1" max="1" width="12.42578125" bestFit="1" customWidth="1"/>
    <col min="14" max="14" width="15.85546875" customWidth="1"/>
  </cols>
  <sheetData>
    <row r="1" spans="1:85" x14ac:dyDescent="0.25">
      <c r="AW1" t="s">
        <v>115</v>
      </c>
      <c r="AY1" t="s">
        <v>153</v>
      </c>
      <c r="AZ1">
        <v>1.33</v>
      </c>
      <c r="BB1" t="s">
        <v>154</v>
      </c>
      <c r="BC1">
        <v>50</v>
      </c>
    </row>
    <row r="2" spans="1:85" ht="15.75" thickBot="1" x14ac:dyDescent="0.3">
      <c r="AW2">
        <f t="shared" ref="AW2:CG2" si="0">ASIN(SIN(RADIANS(AW4))/Index_of_ref)</f>
        <v>0.74972077324328434</v>
      </c>
      <c r="AX2">
        <f t="shared" si="0"/>
        <v>0.74202916534997254</v>
      </c>
      <c r="AY2">
        <f t="shared" si="0"/>
        <v>0.74202916534997254</v>
      </c>
      <c r="AZ2">
        <f t="shared" si="0"/>
        <v>0.73411411713322383</v>
      </c>
      <c r="BA2">
        <f t="shared" si="0"/>
        <v>0.73411411713322383</v>
      </c>
      <c r="BB2">
        <f t="shared" si="0"/>
        <v>0.72598229595825714</v>
      </c>
      <c r="BC2">
        <f t="shared" si="0"/>
        <v>0.72598229595825714</v>
      </c>
      <c r="BD2">
        <f t="shared" si="0"/>
        <v>0.71764030067489315</v>
      </c>
      <c r="BE2">
        <f t="shared" si="0"/>
        <v>0.71764030067489315</v>
      </c>
      <c r="BF2">
        <f t="shared" si="0"/>
        <v>0.70909464879879069</v>
      </c>
      <c r="BG2">
        <f t="shared" si="0"/>
        <v>0.70909464879879069</v>
      </c>
      <c r="BH2">
        <f t="shared" si="0"/>
        <v>0.70035176522282638</v>
      </c>
      <c r="BI2">
        <f t="shared" si="0"/>
        <v>0.70035176522282638</v>
      </c>
      <c r="BJ2">
        <f t="shared" si="0"/>
        <v>0.69141797239083758</v>
      </c>
      <c r="BK2">
        <f t="shared" si="0"/>
        <v>0.69141797239083758</v>
      </c>
      <c r="BL2">
        <f t="shared" si="0"/>
        <v>0.6822994818577639</v>
      </c>
      <c r="BM2">
        <f t="shared" si="0"/>
        <v>0.6822994818577639</v>
      </c>
      <c r="BN2">
        <f t="shared" si="0"/>
        <v>0.67300238715431693</v>
      </c>
      <c r="BO2">
        <f t="shared" si="0"/>
        <v>0.67300238715431693</v>
      </c>
      <c r="BP2">
        <f t="shared" si="0"/>
        <v>0.66353265787048266</v>
      </c>
      <c r="BQ2">
        <f t="shared" si="0"/>
        <v>0.66353265787048266</v>
      </c>
      <c r="BR2">
        <f t="shared" si="0"/>
        <v>0.65389613487010845</v>
      </c>
      <c r="BS2">
        <f t="shared" si="0"/>
        <v>0.65389613487010845</v>
      </c>
      <c r="BT2">
        <f t="shared" si="0"/>
        <v>0.64409852654834232</v>
      </c>
      <c r="BU2">
        <f t="shared" si="0"/>
        <v>0.64409852654834232</v>
      </c>
      <c r="BV2">
        <f t="shared" si="0"/>
        <v>0.63414540604449754</v>
      </c>
      <c r="BW2">
        <f t="shared" si="0"/>
        <v>0.63414540604449754</v>
      </c>
      <c r="BX2">
        <f t="shared" si="0"/>
        <v>0.62404220932479948</v>
      </c>
      <c r="BY2">
        <f t="shared" si="0"/>
        <v>0.62404220932479948</v>
      </c>
      <c r="BZ2">
        <f t="shared" si="0"/>
        <v>0.61379423405223421</v>
      </c>
      <c r="CA2">
        <f t="shared" si="0"/>
        <v>0.61379423405223421</v>
      </c>
      <c r="CB2">
        <f t="shared" si="0"/>
        <v>0.60340663916412951</v>
      </c>
      <c r="CC2">
        <f t="shared" si="0"/>
        <v>0.60340663916412951</v>
      </c>
      <c r="CD2">
        <f t="shared" si="0"/>
        <v>0.5928844450820423</v>
      </c>
      <c r="CE2">
        <f t="shared" si="0"/>
        <v>0.5928844450820423</v>
      </c>
      <c r="CF2">
        <f t="shared" si="0"/>
        <v>0.58223253448280166</v>
      </c>
      <c r="CG2">
        <f t="shared" si="0"/>
        <v>0.58223253448280166</v>
      </c>
    </row>
    <row r="3" spans="1:85" ht="17.25" thickTop="1" thickBot="1" x14ac:dyDescent="0.3">
      <c r="A3" s="14" t="s">
        <v>157</v>
      </c>
      <c r="B3" s="15">
        <f>Index_of_ref</f>
        <v>1.33</v>
      </c>
      <c r="AW3" t="s">
        <v>116</v>
      </c>
      <c r="AX3">
        <v>1</v>
      </c>
      <c r="AZ3">
        <f>AX3+1</f>
        <v>2</v>
      </c>
      <c r="BB3">
        <f t="shared" ref="BB3" si="1">AZ3+1</f>
        <v>3</v>
      </c>
      <c r="BD3">
        <f t="shared" ref="BD3" si="2">BB3+1</f>
        <v>4</v>
      </c>
      <c r="BF3">
        <f t="shared" ref="BF3" si="3">BD3+1</f>
        <v>5</v>
      </c>
      <c r="BH3">
        <f t="shared" ref="BH3" si="4">BF3+1</f>
        <v>6</v>
      </c>
      <c r="BJ3">
        <f t="shared" ref="BJ3" si="5">BH3+1</f>
        <v>7</v>
      </c>
      <c r="BL3">
        <f t="shared" ref="BL3" si="6">BJ3+1</f>
        <v>8</v>
      </c>
      <c r="BN3">
        <f t="shared" ref="BN3" si="7">BL3+1</f>
        <v>9</v>
      </c>
      <c r="BP3">
        <f t="shared" ref="BP3" si="8">BN3+1</f>
        <v>10</v>
      </c>
      <c r="BR3">
        <f t="shared" ref="BR3" si="9">BP3+1</f>
        <v>11</v>
      </c>
      <c r="BT3">
        <f t="shared" ref="BT3" si="10">BR3+1</f>
        <v>12</v>
      </c>
      <c r="BV3">
        <f t="shared" ref="BV3" si="11">BT3+1</f>
        <v>13</v>
      </c>
      <c r="BX3">
        <f t="shared" ref="BX3" si="12">BV3+1</f>
        <v>14</v>
      </c>
      <c r="BZ3">
        <f t="shared" ref="BZ3" si="13">BX3+1</f>
        <v>15</v>
      </c>
      <c r="CB3">
        <f t="shared" ref="CB3" si="14">BZ3+1</f>
        <v>16</v>
      </c>
      <c r="CD3">
        <f t="shared" ref="CD3" si="15">CB3+1</f>
        <v>17</v>
      </c>
      <c r="CF3">
        <f t="shared" ref="CF3" si="16">CD3+1</f>
        <v>18</v>
      </c>
    </row>
    <row r="4" spans="1:85" ht="15.75" thickTop="1" x14ac:dyDescent="0.25">
      <c r="AV4" t="s">
        <v>117</v>
      </c>
      <c r="AW4">
        <f>CEILING(Al_Farisi_in_degrees,2)+5</f>
        <v>65</v>
      </c>
      <c r="AX4">
        <f>AW4-1</f>
        <v>64</v>
      </c>
      <c r="AY4">
        <f>AX4</f>
        <v>64</v>
      </c>
      <c r="AZ4">
        <f t="shared" ref="AZ4" si="17">AY4-1</f>
        <v>63</v>
      </c>
      <c r="BA4">
        <f t="shared" ref="BA4" si="18">AZ4</f>
        <v>63</v>
      </c>
      <c r="BB4">
        <f t="shared" ref="BB4" si="19">BA4-1</f>
        <v>62</v>
      </c>
      <c r="BC4">
        <f t="shared" ref="BC4" si="20">BB4</f>
        <v>62</v>
      </c>
      <c r="BD4">
        <f t="shared" ref="BD4" si="21">BC4-1</f>
        <v>61</v>
      </c>
      <c r="BE4">
        <f t="shared" ref="BE4" si="22">BD4</f>
        <v>61</v>
      </c>
      <c r="BF4">
        <f t="shared" ref="BF4" si="23">BE4-1</f>
        <v>60</v>
      </c>
      <c r="BG4">
        <f t="shared" ref="BG4" si="24">BF4</f>
        <v>60</v>
      </c>
      <c r="BH4">
        <f t="shared" ref="BH4" si="25">BG4-1</f>
        <v>59</v>
      </c>
      <c r="BI4">
        <f t="shared" ref="BI4" si="26">BH4</f>
        <v>59</v>
      </c>
      <c r="BJ4">
        <f t="shared" ref="BJ4" si="27">BI4-1</f>
        <v>58</v>
      </c>
      <c r="BK4">
        <f t="shared" ref="BK4" si="28">BJ4</f>
        <v>58</v>
      </c>
      <c r="BL4">
        <f t="shared" ref="BL4" si="29">BK4-1</f>
        <v>57</v>
      </c>
      <c r="BM4">
        <f t="shared" ref="BM4" si="30">BL4</f>
        <v>57</v>
      </c>
      <c r="BN4">
        <f t="shared" ref="BN4" si="31">BM4-1</f>
        <v>56</v>
      </c>
      <c r="BO4">
        <f t="shared" ref="BO4" si="32">BN4</f>
        <v>56</v>
      </c>
      <c r="BP4">
        <f t="shared" ref="BP4" si="33">BO4-1</f>
        <v>55</v>
      </c>
      <c r="BQ4">
        <f t="shared" ref="BQ4" si="34">BP4</f>
        <v>55</v>
      </c>
      <c r="BR4">
        <f t="shared" ref="BR4" si="35">BQ4-1</f>
        <v>54</v>
      </c>
      <c r="BS4">
        <f t="shared" ref="BS4" si="36">BR4</f>
        <v>54</v>
      </c>
      <c r="BT4">
        <f t="shared" ref="BT4" si="37">BS4-1</f>
        <v>53</v>
      </c>
      <c r="BU4">
        <f t="shared" ref="BU4" si="38">BT4</f>
        <v>53</v>
      </c>
      <c r="BV4">
        <f t="shared" ref="BV4" si="39">BU4-1</f>
        <v>52</v>
      </c>
      <c r="BW4">
        <f t="shared" ref="BW4" si="40">BV4</f>
        <v>52</v>
      </c>
      <c r="BX4">
        <f t="shared" ref="BX4" si="41">BW4-1</f>
        <v>51</v>
      </c>
      <c r="BY4">
        <f t="shared" ref="BY4" si="42">BX4</f>
        <v>51</v>
      </c>
      <c r="BZ4">
        <f t="shared" ref="BZ4" si="43">BY4-1</f>
        <v>50</v>
      </c>
      <c r="CA4">
        <f t="shared" ref="CA4" si="44">BZ4</f>
        <v>50</v>
      </c>
      <c r="CB4">
        <f t="shared" ref="CB4" si="45">CA4-1</f>
        <v>49</v>
      </c>
      <c r="CC4">
        <f t="shared" ref="CC4" si="46">CB4</f>
        <v>49</v>
      </c>
      <c r="CD4">
        <f t="shared" ref="CD4" si="47">CC4-1</f>
        <v>48</v>
      </c>
      <c r="CE4">
        <f t="shared" ref="CE4" si="48">CD4</f>
        <v>48</v>
      </c>
      <c r="CF4">
        <f t="shared" ref="CF4" si="49">CE4-1</f>
        <v>47</v>
      </c>
      <c r="CG4">
        <f t="shared" ref="CG4" si="50">CF4</f>
        <v>47</v>
      </c>
    </row>
    <row r="5" spans="1:85" ht="15.75" x14ac:dyDescent="0.25">
      <c r="A5" s="17">
        <f>SQRT((4-Index_of_ref^2)/3)</f>
        <v>0.86238042649401536</v>
      </c>
      <c r="B5" s="16"/>
      <c r="AV5" t="s">
        <v>118</v>
      </c>
      <c r="AW5">
        <f>RADIANS(AW4)</f>
        <v>1.1344640137963142</v>
      </c>
      <c r="AX5">
        <f t="shared" ref="AX5:CG5" si="51">RADIANS(AX4)</f>
        <v>1.1170107212763709</v>
      </c>
      <c r="AY5">
        <f t="shared" si="51"/>
        <v>1.1170107212763709</v>
      </c>
      <c r="AZ5">
        <f t="shared" si="51"/>
        <v>1.0995574287564276</v>
      </c>
      <c r="BA5">
        <f t="shared" si="51"/>
        <v>1.0995574287564276</v>
      </c>
      <c r="BB5">
        <f t="shared" si="51"/>
        <v>1.0821041362364843</v>
      </c>
      <c r="BC5">
        <f t="shared" si="51"/>
        <v>1.0821041362364843</v>
      </c>
      <c r="BD5">
        <f t="shared" si="51"/>
        <v>1.064650843716541</v>
      </c>
      <c r="BE5">
        <f t="shared" si="51"/>
        <v>1.064650843716541</v>
      </c>
      <c r="BF5">
        <f t="shared" si="51"/>
        <v>1.0471975511965976</v>
      </c>
      <c r="BG5">
        <f t="shared" si="51"/>
        <v>1.0471975511965976</v>
      </c>
      <c r="BH5">
        <f t="shared" si="51"/>
        <v>1.0297442586766545</v>
      </c>
      <c r="BI5">
        <f t="shared" si="51"/>
        <v>1.0297442586766545</v>
      </c>
      <c r="BJ5">
        <f t="shared" si="51"/>
        <v>1.0122909661567112</v>
      </c>
      <c r="BK5">
        <f t="shared" si="51"/>
        <v>1.0122909661567112</v>
      </c>
      <c r="BL5">
        <f t="shared" si="51"/>
        <v>0.99483767363676789</v>
      </c>
      <c r="BM5">
        <f t="shared" si="51"/>
        <v>0.99483767363676789</v>
      </c>
      <c r="BN5">
        <f t="shared" si="51"/>
        <v>0.97738438111682457</v>
      </c>
      <c r="BO5">
        <f t="shared" si="51"/>
        <v>0.97738438111682457</v>
      </c>
      <c r="BP5">
        <f t="shared" si="51"/>
        <v>0.95993108859688125</v>
      </c>
      <c r="BQ5">
        <f t="shared" si="51"/>
        <v>0.95993108859688125</v>
      </c>
      <c r="BR5">
        <f t="shared" si="51"/>
        <v>0.94247779607693793</v>
      </c>
      <c r="BS5">
        <f t="shared" si="51"/>
        <v>0.94247779607693793</v>
      </c>
      <c r="BT5">
        <f t="shared" si="51"/>
        <v>0.92502450355699462</v>
      </c>
      <c r="BU5">
        <f t="shared" si="51"/>
        <v>0.92502450355699462</v>
      </c>
      <c r="BV5">
        <f t="shared" si="51"/>
        <v>0.90757121103705141</v>
      </c>
      <c r="BW5">
        <f t="shared" si="51"/>
        <v>0.90757121103705141</v>
      </c>
      <c r="BX5">
        <f t="shared" si="51"/>
        <v>0.89011791851710809</v>
      </c>
      <c r="BY5">
        <f t="shared" si="51"/>
        <v>0.89011791851710809</v>
      </c>
      <c r="BZ5">
        <f t="shared" si="51"/>
        <v>0.87266462599716477</v>
      </c>
      <c r="CA5">
        <f t="shared" si="51"/>
        <v>0.87266462599716477</v>
      </c>
      <c r="CB5">
        <f t="shared" si="51"/>
        <v>0.85521133347722145</v>
      </c>
      <c r="CC5">
        <f t="shared" si="51"/>
        <v>0.85521133347722145</v>
      </c>
      <c r="CD5">
        <f t="shared" si="51"/>
        <v>0.83775804095727824</v>
      </c>
      <c r="CE5">
        <f t="shared" si="51"/>
        <v>0.83775804095727824</v>
      </c>
      <c r="CF5">
        <f t="shared" si="51"/>
        <v>0.82030474843733492</v>
      </c>
      <c r="CG5">
        <f t="shared" si="51"/>
        <v>0.82030474843733492</v>
      </c>
    </row>
    <row r="6" spans="1:85" x14ac:dyDescent="0.25">
      <c r="AX6" t="s">
        <v>119</v>
      </c>
      <c r="AY6" t="s">
        <v>120</v>
      </c>
      <c r="AZ6" t="s">
        <v>121</v>
      </c>
      <c r="BA6" t="s">
        <v>122</v>
      </c>
      <c r="BB6" t="s">
        <v>123</v>
      </c>
      <c r="BC6" t="s">
        <v>124</v>
      </c>
      <c r="BD6" t="s">
        <v>125</v>
      </c>
      <c r="BE6" t="s">
        <v>126</v>
      </c>
      <c r="BF6" t="s">
        <v>127</v>
      </c>
      <c r="BG6" t="s">
        <v>128</v>
      </c>
      <c r="BH6" t="s">
        <v>129</v>
      </c>
      <c r="BI6" t="s">
        <v>130</v>
      </c>
      <c r="BJ6" t="s">
        <v>131</v>
      </c>
      <c r="BK6" t="s">
        <v>132</v>
      </c>
      <c r="BL6" t="s">
        <v>133</v>
      </c>
      <c r="BM6" t="s">
        <v>134</v>
      </c>
      <c r="BN6" t="s">
        <v>135</v>
      </c>
      <c r="BO6" t="s">
        <v>136</v>
      </c>
      <c r="BP6" t="s">
        <v>137</v>
      </c>
      <c r="BQ6" t="s">
        <v>138</v>
      </c>
      <c r="BR6" t="s">
        <v>139</v>
      </c>
      <c r="BS6" t="s">
        <v>140</v>
      </c>
      <c r="BT6" t="s">
        <v>141</v>
      </c>
      <c r="BU6" t="s">
        <v>142</v>
      </c>
      <c r="BV6" t="s">
        <v>143</v>
      </c>
      <c r="BW6" t="s">
        <v>144</v>
      </c>
      <c r="BX6" t="s">
        <v>145</v>
      </c>
      <c r="BY6" t="s">
        <v>146</v>
      </c>
      <c r="BZ6" t="s">
        <v>147</v>
      </c>
      <c r="CA6" t="s">
        <v>148</v>
      </c>
      <c r="CB6" t="s">
        <v>149</v>
      </c>
      <c r="CC6" t="s">
        <v>150</v>
      </c>
      <c r="CD6" t="s">
        <v>151</v>
      </c>
      <c r="CE6" t="s">
        <v>152</v>
      </c>
    </row>
    <row r="7" spans="1:85" ht="15.75" x14ac:dyDescent="0.25">
      <c r="A7" s="17" t="s">
        <v>158</v>
      </c>
      <c r="B7" s="16"/>
      <c r="AX7">
        <v>-200</v>
      </c>
      <c r="AY7">
        <f>radius_rain*SIN(AX5)</f>
        <v>44.939702314958353</v>
      </c>
      <c r="AZ7">
        <v>-200</v>
      </c>
      <c r="BA7">
        <f>radius_rain*SIN(AZ5)</f>
        <v>44.550326209418387</v>
      </c>
      <c r="BB7">
        <v>-200</v>
      </c>
      <c r="BC7">
        <f>radius_rain*SIN(BB5)</f>
        <v>44.147379642946341</v>
      </c>
      <c r="BD7">
        <v>-200</v>
      </c>
      <c r="BE7">
        <f>radius_rain*SIN(BD5)</f>
        <v>43.730985356969789</v>
      </c>
      <c r="BF7">
        <v>-200</v>
      </c>
      <c r="BG7">
        <f>radius_rain*SIN(BF5)</f>
        <v>43.301270189221931</v>
      </c>
      <c r="BH7">
        <v>-200</v>
      </c>
      <c r="BI7">
        <f>radius_rain*SIN(BH5)</f>
        <v>42.858365035105614</v>
      </c>
      <c r="BJ7">
        <v>-200</v>
      </c>
      <c r="BK7">
        <f>radius_rain*SIN(BJ5)</f>
        <v>42.402404807821299</v>
      </c>
      <c r="BL7">
        <v>-200</v>
      </c>
      <c r="BM7">
        <f>radius_rain*SIN(BL5)</f>
        <v>41.933528397271203</v>
      </c>
      <c r="BN7">
        <v>-200</v>
      </c>
      <c r="BO7">
        <f>radius_rain*SIN(BN5)</f>
        <v>41.451878627752087</v>
      </c>
      <c r="BP7">
        <v>-200</v>
      </c>
      <c r="BQ7">
        <f>radius_rain*SIN(BP5)</f>
        <v>40.957602214449587</v>
      </c>
      <c r="BR7">
        <v>-200</v>
      </c>
      <c r="BS7">
        <f>radius_rain*SIN(BR5)</f>
        <v>40.450849718747371</v>
      </c>
      <c r="BT7">
        <v>-200</v>
      </c>
      <c r="BU7">
        <f>radius_rain*SIN(BT5)</f>
        <v>39.931775502364644</v>
      </c>
      <c r="BV7">
        <v>-200</v>
      </c>
      <c r="BW7">
        <f>radius_rain*SIN(BV5)</f>
        <v>39.4005376803361</v>
      </c>
      <c r="BX7">
        <v>-200</v>
      </c>
      <c r="BY7">
        <f>radius_rain*SIN(BX5)</f>
        <v>38.857298072848543</v>
      </c>
      <c r="BZ7">
        <v>-200</v>
      </c>
      <c r="CA7">
        <f>radius_rain*SIN(BZ5)</f>
        <v>38.302222155948904</v>
      </c>
      <c r="CB7">
        <v>-200</v>
      </c>
      <c r="CC7">
        <f>radius_rain*SIN(CB5)</f>
        <v>37.735479011138601</v>
      </c>
      <c r="CD7">
        <v>-200</v>
      </c>
      <c r="CE7">
        <f>radius_rain*SIN(CD5)</f>
        <v>37.157241273869715</v>
      </c>
      <c r="CF7">
        <v>-200</v>
      </c>
      <c r="CG7">
        <f>radius_rain*SIN(CF5)</f>
        <v>36.567685080958526</v>
      </c>
    </row>
    <row r="8" spans="1:85" ht="15.75" x14ac:dyDescent="0.25">
      <c r="A8" s="16">
        <f>ASIN(SIN(RADIANS(A10))/Index_of_ref)</f>
        <v>0.70548920441426477</v>
      </c>
      <c r="B8" s="16"/>
      <c r="AX8">
        <f>-radius_rain*COS(AX5)</f>
        <v>-21.918557339453873</v>
      </c>
      <c r="AY8">
        <f>radius_rain*SIN(AX5)</f>
        <v>44.939702314958353</v>
      </c>
      <c r="AZ8">
        <f>-radius_rain*COS(AZ5)</f>
        <v>-22.699524986977341</v>
      </c>
      <c r="BA8">
        <f>radius_rain*SIN(AZ5)</f>
        <v>44.550326209418387</v>
      </c>
      <c r="BB8">
        <f>-radius_rain*COS(BB5)</f>
        <v>-23.473578139294542</v>
      </c>
      <c r="BC8">
        <f>radius_rain*SIN(BB5)</f>
        <v>44.147379642946341</v>
      </c>
      <c r="BD8">
        <f>-radius_rain*COS(BD5)</f>
        <v>-24.240481012316856</v>
      </c>
      <c r="BE8">
        <f>radius_rain*SIN(BD5)</f>
        <v>43.730985356969789</v>
      </c>
      <c r="BF8">
        <f>-radius_rain*COS(BF5)</f>
        <v>-25.000000000000007</v>
      </c>
      <c r="BG8">
        <f>radius_rain*SIN(BF5)</f>
        <v>43.301270189221931</v>
      </c>
      <c r="BH8">
        <f>-radius_rain*COS(BH5)</f>
        <v>-25.751903745502709</v>
      </c>
      <c r="BI8">
        <f>radius_rain*SIN(BH5)</f>
        <v>42.858365035105614</v>
      </c>
      <c r="BJ8">
        <f>-radius_rain*COS(BJ5)</f>
        <v>-26.495963211660246</v>
      </c>
      <c r="BK8">
        <f>radius_rain*SIN(BJ5)</f>
        <v>42.402404807821299</v>
      </c>
      <c r="BL8">
        <f>-radius_rain*COS(BL5)</f>
        <v>-27.231951750751353</v>
      </c>
      <c r="BM8">
        <f>radius_rain*SIN(BL5)</f>
        <v>41.933528397271203</v>
      </c>
      <c r="BN8">
        <f>-radius_rain*COS(BN5)</f>
        <v>-27.959645173537339</v>
      </c>
      <c r="BO8">
        <f>radius_rain*SIN(BN5)</f>
        <v>41.451878627752087</v>
      </c>
      <c r="BP8">
        <f>-radius_rain*COS(BP5)</f>
        <v>-28.678821817552308</v>
      </c>
      <c r="BQ8">
        <f>radius_rain*SIN(BP5)</f>
        <v>40.957602214449587</v>
      </c>
      <c r="BR8">
        <f>-radius_rain*COS(BR5)</f>
        <v>-29.389262614623657</v>
      </c>
      <c r="BS8">
        <f>radius_rain*SIN(BR5)</f>
        <v>40.450849718747371</v>
      </c>
      <c r="BT8">
        <f>-radius_rain*COS(BT5)</f>
        <v>-30.090751157602419</v>
      </c>
      <c r="BU8">
        <f>radius_rain*SIN(BT5)</f>
        <v>39.931775502364644</v>
      </c>
      <c r="BV8">
        <f>-radius_rain*COS(BV5)</f>
        <v>-30.783073766282914</v>
      </c>
      <c r="BW8">
        <f>radius_rain*SIN(BV5)</f>
        <v>39.4005376803361</v>
      </c>
      <c r="BX8">
        <f>-radius_rain*COS(BX5)</f>
        <v>-31.466019552491876</v>
      </c>
      <c r="BY8">
        <f>radius_rain*SIN(BX5)</f>
        <v>38.857298072848543</v>
      </c>
      <c r="BZ8">
        <f>-radius_rain*COS(BZ5)</f>
        <v>-32.139380484326971</v>
      </c>
      <c r="CA8">
        <f>radius_rain*SIN(BZ5)</f>
        <v>38.302222155948904</v>
      </c>
      <c r="CB8">
        <f>-radius_rain*COS(CB5)</f>
        <v>-32.802951449525366</v>
      </c>
      <c r="CC8">
        <f>radius_rain*SIN(CB5)</f>
        <v>37.735479011138601</v>
      </c>
      <c r="CD8">
        <f>-radius_rain*COS(CD5)</f>
        <v>-33.456530317942914</v>
      </c>
      <c r="CE8">
        <f>radius_rain*SIN(CD5)</f>
        <v>37.157241273869715</v>
      </c>
      <c r="CF8">
        <f>-radius_rain*COS(CF5)</f>
        <v>-34.099918003124927</v>
      </c>
      <c r="CG8">
        <f>radius_rain*SIN(CF5)</f>
        <v>36.567685080958526</v>
      </c>
    </row>
    <row r="9" spans="1:85" ht="15.75" x14ac:dyDescent="0.25">
      <c r="A9" s="17" t="s">
        <v>159</v>
      </c>
      <c r="B9" s="16"/>
      <c r="AX9">
        <f>radius_rain*COS(2*AX2-AX5)</f>
        <v>46.669545534230252</v>
      </c>
      <c r="AY9">
        <f>radius_rain*SIN(2*AX2-AX5)</f>
        <v>17.943063273265484</v>
      </c>
      <c r="AZ9">
        <f>radius_rain*COS(2*AZ2-AZ5)</f>
        <v>46.640358955294325</v>
      </c>
      <c r="BA9">
        <f>radius_rain*SIN(2*AZ2-AZ5)</f>
        <v>18.018793425790104</v>
      </c>
      <c r="BB9">
        <f>radius_rain*COS(2*BB2-BB5)</f>
        <v>46.618889895399406</v>
      </c>
      <c r="BC9">
        <f>radius_rain*SIN(2*BB2-BB5)</f>
        <v>18.074266372957638</v>
      </c>
      <c r="BD9">
        <f>radius_rain*COS(2*BD2-BD5)</f>
        <v>46.604971533224152</v>
      </c>
      <c r="BE9">
        <f>radius_rain*SIN(2*BD2-BD5)</f>
        <v>18.110125024067798</v>
      </c>
      <c r="BF9">
        <f>radius_rain*COS(2*BF2-BF5)</f>
        <v>46.598412818064858</v>
      </c>
      <c r="BG9">
        <f>radius_rain*SIN(2*BF2-BF5)</f>
        <v>18.126994313377192</v>
      </c>
      <c r="BH9">
        <f>radius_rain*COS(2*BH2-BH5)</f>
        <v>46.599001460962697</v>
      </c>
      <c r="BI9">
        <f>radius_rain*SIN(2*BH2-BH5)</f>
        <v>18.125481037511705</v>
      </c>
      <c r="BJ9">
        <f>radius_rain*COS(2*BJ2-BJ5)</f>
        <v>46.606506724175546</v>
      </c>
      <c r="BK9">
        <f>radius_rain*SIN(2*BJ2-BJ5)</f>
        <v>18.106173835721879</v>
      </c>
      <c r="BL9">
        <f>radius_rain*COS(2*BL2-BL5)</f>
        <v>46.620682011668052</v>
      </c>
      <c r="BM9">
        <f>radius_rain*SIN(2*BL2-BL5)</f>
        <v>18.069643293848685</v>
      </c>
      <c r="BN9">
        <f>radius_rain*COS(2*BN2-BN5)</f>
        <v>46.641267265175948</v>
      </c>
      <c r="BO9">
        <f>radius_rain*SIN(2*BN2-BN5)</f>
        <v>18.016442154277481</v>
      </c>
      <c r="BP9">
        <f>radius_rain*COS(2*BP2-BP5)</f>
        <v>46.667991171920356</v>
      </c>
      <c r="BQ9">
        <f>radius_rain*SIN(2*BP2-BP5)</f>
        <v>17.947105615601757</v>
      </c>
      <c r="BR9">
        <f>radius_rain*COS(2*BR2-BR5)</f>
        <v>46.700573191240707</v>
      </c>
      <c r="BS9">
        <f>radius_rain*SIN(2*BR2-BR5)</f>
        <v>17.862151707159178</v>
      </c>
      <c r="BT9">
        <f>radius_rain*COS(2*BT2-BT5)</f>
        <v>46.738725408313435</v>
      </c>
      <c r="BU9">
        <f>radius_rain*SIN(2*BT2-BT5)</f>
        <v>17.762081725019623</v>
      </c>
      <c r="BV9">
        <f>radius_rain*COS(2*BV2-BV5)</f>
        <v>46.782154223764202</v>
      </c>
      <c r="BW9">
        <f>radius_rain*SIN(2*BV2-BV5)</f>
        <v>17.647380717373931</v>
      </c>
      <c r="BX9">
        <f>radius_rain*COS(2*BX2-BX5)</f>
        <v>46.83056188839786</v>
      </c>
      <c r="BY9">
        <f>radius_rain*SIN(2*BX2-BX5)</f>
        <v>17.518518008579882</v>
      </c>
      <c r="BZ9">
        <f>radius_rain*COS(2*BZ2-BZ5)</f>
        <v>46.883647892493762</v>
      </c>
      <c r="CA9">
        <f>radius_rain*SIN(2*BZ2-BZ5)</f>
        <v>17.375947752357717</v>
      </c>
      <c r="CB9">
        <f>radius_rain*COS(2*CB2-CB5)</f>
        <v>46.941110219176899</v>
      </c>
      <c r="CC9">
        <f>radius_rain*SIN(2*CB2-CB5)</f>
        <v>17.220109505780925</v>
      </c>
      <c r="CD9">
        <f>radius_rain*COS(2*CD2-CD5)</f>
        <v>47.002646471303329</v>
      </c>
      <c r="CE9">
        <f>radius_rain*SIN(2*CD2-CD5)</f>
        <v>17.051428816778873</v>
      </c>
      <c r="CF9">
        <f>radius_rain*COS(2*CF2-CF5)</f>
        <v>47.06795488111829</v>
      </c>
      <c r="CG9">
        <f>radius_rain*SIN(2*CF2-CF5)</f>
        <v>16.870317818850154</v>
      </c>
    </row>
    <row r="10" spans="1:85" ht="15.75" x14ac:dyDescent="0.25">
      <c r="A10" s="16">
        <f>DEGREES(ASIN(A5))</f>
        <v>59.584916949416929</v>
      </c>
      <c r="B10" s="16"/>
      <c r="AX10">
        <f>-radius_rain*COS(4*AX2-AX5)</f>
        <v>13.832659544341141</v>
      </c>
      <c r="AY10">
        <f>-radius_rain*SIN(4*AX2-AX5)</f>
        <v>-48.048491442815852</v>
      </c>
      <c r="AZ10">
        <f>-radius_rain*COS(4*AZ2-AZ5)</f>
        <v>13.148666436266005</v>
      </c>
      <c r="BA10">
        <f>-radius_rain*SIN(4*AZ2-AZ5)</f>
        <v>-48.240155171265897</v>
      </c>
      <c r="BB10">
        <f>-radius_rain*COS(4*BB2-BB5)</f>
        <v>12.420028426613037</v>
      </c>
      <c r="BC10">
        <f>-radius_rain*SIN(4*BB2-BB5)</f>
        <v>-48.4328699736256</v>
      </c>
      <c r="BD10">
        <f>-radius_rain*COS(4*BD2-BD5)</f>
        <v>11.647694096832154</v>
      </c>
      <c r="BE10">
        <f>-radius_rain*SIN(4*BD2-BD5)</f>
        <v>-48.624389170730169</v>
      </c>
      <c r="BF10">
        <f>-radius_rain*COS(4*BF2-BF5)</f>
        <v>10.832649435493634</v>
      </c>
      <c r="BG10">
        <f>-radius_rain*SIN(4*BF2-BF5)</f>
        <v>-48.812433930379868</v>
      </c>
      <c r="BH10">
        <f>-radius_rain*COS(4*BH2-BH5)</f>
        <v>9.9759229854890847</v>
      </c>
      <c r="BI10">
        <f>-radius_rain*SIN(4*BH2-BH5)</f>
        <v>-48.994703393199458</v>
      </c>
      <c r="BJ10">
        <f>-radius_rain*COS(4*BJ2-BJ5)</f>
        <v>9.0785905849330071</v>
      </c>
      <c r="BK10">
        <f>-radius_rain*SIN(4*BJ2-BJ5)</f>
        <v>-49.16888439848077</v>
      </c>
      <c r="BL10">
        <f>-radius_rain*COS(4*BL2-BL5)</f>
        <v>8.1417796670367757</v>
      </c>
      <c r="BM10">
        <f>-radius_rain*SIN(4*BL2-BL5)</f>
        <v>-49.332660822759465</v>
      </c>
      <c r="BN10">
        <f>-radius_rain*COS(4*BN2-BN5)</f>
        <v>7.1666730921476187</v>
      </c>
      <c r="BO10">
        <f>-radius_rain*SIN(4*BN2-BN5)</f>
        <v>-49.483722543784914</v>
      </c>
      <c r="BP10">
        <f>-radius_rain*COS(4*BP2-BP5)</f>
        <v>6.1545124922673198</v>
      </c>
      <c r="BQ10">
        <f>-radius_rain*SIN(4*BP2-BP5)</f>
        <v>-49.619774042034145</v>
      </c>
      <c r="BR10">
        <f>-radius_rain*COS(4*BR2-BR5)</f>
        <v>5.1066011147078765</v>
      </c>
      <c r="BS10">
        <f>-radius_rain*SIN(4*BR2-BR5)</f>
        <v>-49.738542651099706</v>
      </c>
      <c r="BT10">
        <f>-radius_rain*COS(4*BT2-BT5)</f>
        <v>4.0243061571525116</v>
      </c>
      <c r="BU10">
        <f>-radius_rain*SIN(4*BT2-BT5)</f>
        <v>-49.837786467232917</v>
      </c>
      <c r="BV10">
        <f>-radius_rain*COS(4*BV2-BV5)</f>
        <v>2.9090605913117273</v>
      </c>
      <c r="BW10">
        <f>-radius_rain*SIN(4*BV2-BV5)</f>
        <v>-49.915301927125284</v>
      </c>
      <c r="BX10">
        <f>-radius_rain*COS(4*BX2-BX5)</f>
        <v>1.7623644766519582</v>
      </c>
      <c r="BY10">
        <f>-radius_rain*SIN(4*BX2-BX5)</f>
        <v>-49.968931061725094</v>
      </c>
      <c r="BZ10">
        <f>-radius_rain*COS(4*BZ2-BZ5)</f>
        <v>0.58578576938674853</v>
      </c>
      <c r="CA10">
        <f>-radius_rain*SIN(4*BZ2-BZ5)</f>
        <v>-49.996568432567287</v>
      </c>
      <c r="CB10">
        <f>-radius_rain*COS(4*CB2-CB5)</f>
        <v>-0.61903936489496136</v>
      </c>
      <c r="CC10">
        <f>-radius_rain*SIN(4*CB2-CB5)</f>
        <v>-49.996167755786146</v>
      </c>
      <c r="CD10">
        <f>-radius_rain*COS(4*CD2-CD5)</f>
        <v>-1.8504067238650126</v>
      </c>
      <c r="CE10">
        <f>-radius_rain*SIN(4*CD2-CD5)</f>
        <v>-49.965748217716857</v>
      </c>
      <c r="CF10">
        <f>-radius_rain*COS(4*CF2-CF5)</f>
        <v>-3.1065447129556429</v>
      </c>
      <c r="CG10">
        <f>-radius_rain*SIN(4*CF2-CF5)</f>
        <v>-49.903400484800706</v>
      </c>
    </row>
    <row r="11" spans="1:85" ht="15.75" x14ac:dyDescent="0.25">
      <c r="A11" s="16">
        <f>ASIN(A5)</f>
        <v>1.0399529852947009</v>
      </c>
      <c r="B11" s="16" t="s">
        <v>160</v>
      </c>
      <c r="AX11">
        <v>-200</v>
      </c>
      <c r="AY11">
        <f>AY10+TAN(4*AX2-2*AX5)*(-200-AX10)</f>
        <v>-240.99390958866013</v>
      </c>
      <c r="AZ11">
        <v>-200</v>
      </c>
      <c r="BA11">
        <f>BA10+TAN(4*AZ2-2*AZ5)*(-200-AZ10)</f>
        <v>-241.82743348902164</v>
      </c>
      <c r="BB11">
        <v>-200</v>
      </c>
      <c r="BC11">
        <f>BC10+TAN(4*BB2-2*BB5)*(-200-BB10)</f>
        <v>-242.28269125292425</v>
      </c>
      <c r="BD11">
        <v>-200</v>
      </c>
      <c r="BE11">
        <f>BE10+TAN(4*BD2-2*BD5)*(-200-BD10)</f>
        <v>-242.3670709640744</v>
      </c>
      <c r="BF11">
        <v>-200</v>
      </c>
      <c r="BG11">
        <f>BG10+TAN(4*BF2-2*BF5)*(-200-BF10)</f>
        <v>-242.08975126143298</v>
      </c>
      <c r="BH11">
        <v>-200</v>
      </c>
      <c r="BI11">
        <f>BI10+TAN(4*BH2-2*BH5)*(-200-BH10)</f>
        <v>-241.46153355154939</v>
      </c>
      <c r="BJ11">
        <v>-200</v>
      </c>
      <c r="BK11">
        <f>BK10+TAN(4*BJ2-2*BJ5)*(-200-BJ10)</f>
        <v>-240.49465685695543</v>
      </c>
      <c r="BL11">
        <v>-200</v>
      </c>
      <c r="BM11">
        <f>BM10+TAN(4*BL2-2*BL5)*(-200-BL10)</f>
        <v>-239.20260079938186</v>
      </c>
      <c r="BN11">
        <v>-200</v>
      </c>
      <c r="BO11">
        <f>BO10+TAN(4*BN2-2*BN5)*(-200-BN10)</f>
        <v>-237.59988206972685</v>
      </c>
      <c r="BP11">
        <v>-200</v>
      </c>
      <c r="BQ11">
        <f>BQ10+TAN(4*BP2-2*BP5)*(-200-BP10)</f>
        <v>-235.70184940863203</v>
      </c>
      <c r="BR11">
        <v>-200</v>
      </c>
      <c r="BS11">
        <f>BS10+TAN(4*BR2-2*BR5)*(-200-BR10)</f>
        <v>-233.52448164794566</v>
      </c>
      <c r="BT11">
        <v>-200</v>
      </c>
      <c r="BU11">
        <f>BU10+TAN(4*BT2-2*BT5)*(-200-BT10)</f>
        <v>-231.0841927833967</v>
      </c>
      <c r="BV11">
        <v>-200</v>
      </c>
      <c r="BW11">
        <f>BW10+TAN(4*BV2-2*BV5)*(-200-BV10)</f>
        <v>-228.39764740174692</v>
      </c>
      <c r="BX11">
        <v>-200</v>
      </c>
      <c r="BY11">
        <f>BY10+TAN(4*BX2-2*BX5)*(-200-BX10)</f>
        <v>-225.48158910863336</v>
      </c>
      <c r="BZ11">
        <v>-200</v>
      </c>
      <c r="CA11">
        <f>CA10+TAN(4*BZ2-2*BZ5)*(-200-BZ10)</f>
        <v>-222.35268392914872</v>
      </c>
      <c r="CB11">
        <v>-200</v>
      </c>
      <c r="CC11">
        <f>CC10+TAN(4*CB2-2*CB5)*(-200-CB10)</f>
        <v>-219.0273800092877</v>
      </c>
      <c r="CD11">
        <v>-200</v>
      </c>
      <c r="CE11">
        <f>CE10+TAN(4*CD2-2*CD5)*(-200-CD10)</f>
        <v>-215.52178435406202</v>
      </c>
      <c r="CF11">
        <v>-200</v>
      </c>
      <c r="CG11">
        <f>CG10+TAN(4*CF2-2*CF5)*(-200-CF10)</f>
        <v>-211.85155681234062</v>
      </c>
    </row>
    <row r="12" spans="1:85" ht="15.75" x14ac:dyDescent="0.25">
      <c r="A12" s="17" t="s">
        <v>161</v>
      </c>
      <c r="B12" s="16"/>
    </row>
    <row r="13" spans="1:85" ht="15.75" x14ac:dyDescent="0.25">
      <c r="A13" s="16">
        <v>-200</v>
      </c>
      <c r="B13" s="16">
        <f>radius_rain*SIN(A11)</f>
        <v>43.119021324700768</v>
      </c>
    </row>
    <row r="14" spans="1:85" ht="15.75" x14ac:dyDescent="0.25">
      <c r="A14" s="16">
        <f>-radius_rain*COS(A11)</f>
        <v>-25.313040117694293</v>
      </c>
      <c r="B14" s="16">
        <f>radius_rain*SIN(A11)</f>
        <v>43.119021324700768</v>
      </c>
    </row>
    <row r="15" spans="1:85" ht="15.75" x14ac:dyDescent="0.25">
      <c r="A15" s="16">
        <f>radius_rain*COS(2*A8-A11)</f>
        <v>46.597802326444622</v>
      </c>
      <c r="B15" s="16">
        <f>radius_rain*SIN(2*A8-A11)</f>
        <v>18.128563604036373</v>
      </c>
    </row>
    <row r="16" spans="1:85" ht="15.75" x14ac:dyDescent="0.25">
      <c r="A16" s="16">
        <f>-radius_rain*COS(4*A8-A11)</f>
        <v>10.482036267963716</v>
      </c>
      <c r="B16" s="16">
        <f>-radius_rain*SIN(4*A8-A11)</f>
        <v>-48.888924263856467</v>
      </c>
    </row>
    <row r="17" spans="1:5" ht="15.75" x14ac:dyDescent="0.25">
      <c r="A17" s="16">
        <v>-200</v>
      </c>
      <c r="B17" s="16">
        <f>B16+TAN(4*A8-2*A11)*(-200-A16)</f>
        <v>-241.87091552725181</v>
      </c>
    </row>
    <row r="18" spans="1:5" ht="15.75" x14ac:dyDescent="0.25">
      <c r="A18" s="17" t="s">
        <v>158</v>
      </c>
      <c r="B18" s="16"/>
    </row>
    <row r="19" spans="1:5" ht="15.75" x14ac:dyDescent="0.25">
      <c r="A19" s="16">
        <f>ASIN(SIN(RADIANS(A21))/Index_of_ref)</f>
        <v>0.62404220932479948</v>
      </c>
      <c r="B19" s="16"/>
    </row>
    <row r="20" spans="1:5" ht="15.75" x14ac:dyDescent="0.25">
      <c r="A20" s="17" t="s">
        <v>162</v>
      </c>
      <c r="B20" s="16"/>
    </row>
    <row r="21" spans="1:5" ht="15.75" x14ac:dyDescent="0.25">
      <c r="A21" s="16">
        <v>51</v>
      </c>
      <c r="B21" s="16"/>
    </row>
    <row r="22" spans="1:5" ht="15.75" x14ac:dyDescent="0.25">
      <c r="A22" s="16">
        <f>RADIANS(A21)</f>
        <v>0.89011791851710809</v>
      </c>
      <c r="B22" s="16">
        <f>RADIANS(B21)</f>
        <v>0</v>
      </c>
    </row>
    <row r="23" spans="1:5" ht="15.75" x14ac:dyDescent="0.25">
      <c r="A23" s="17" t="s">
        <v>163</v>
      </c>
      <c r="B23" s="16"/>
    </row>
    <row r="24" spans="1:5" ht="15.75" x14ac:dyDescent="0.25">
      <c r="A24" s="16">
        <v>-200</v>
      </c>
      <c r="B24" s="16">
        <f>radius_rain*SIN(A22)</f>
        <v>38.857298072848543</v>
      </c>
    </row>
    <row r="25" spans="1:5" ht="15.75" x14ac:dyDescent="0.25">
      <c r="A25" s="16">
        <f>-radius_rain*COS(A22)</f>
        <v>-31.466019552491876</v>
      </c>
      <c r="B25" s="16">
        <f>radius_rain*SIN(A22)</f>
        <v>38.857298072848543</v>
      </c>
    </row>
    <row r="26" spans="1:5" ht="15.75" x14ac:dyDescent="0.25">
      <c r="A26" s="16">
        <f>radius_rain*COS(2*A19-A22)</f>
        <v>46.83056188839786</v>
      </c>
      <c r="B26" s="16">
        <f>radius_rain*SIN(2*A19-A22)</f>
        <v>17.518518008579882</v>
      </c>
    </row>
    <row r="27" spans="1:5" ht="15.75" x14ac:dyDescent="0.25">
      <c r="A27" s="16">
        <f>-radius_rain*COS(4*A19-A22)</f>
        <v>1.7623644766519582</v>
      </c>
      <c r="B27" s="16">
        <f>-radius_rain*SIN(4*A19-A22)</f>
        <v>-49.968931061725094</v>
      </c>
    </row>
    <row r="28" spans="1:5" ht="15.75" x14ac:dyDescent="0.25">
      <c r="A28" s="16">
        <v>-200</v>
      </c>
      <c r="B28" s="16">
        <f>B27+TAN(4*A19-2*A22)*(-200-A27)</f>
        <v>-225.48158910863336</v>
      </c>
    </row>
    <row r="30" spans="1:5" x14ac:dyDescent="0.25">
      <c r="E30" t="s">
        <v>210</v>
      </c>
    </row>
    <row r="55" spans="60:62" x14ac:dyDescent="0.25">
      <c r="BI55" t="s">
        <v>155</v>
      </c>
      <c r="BJ55" t="s">
        <v>156</v>
      </c>
    </row>
    <row r="56" spans="60:62" x14ac:dyDescent="0.25">
      <c r="BH56">
        <v>0</v>
      </c>
      <c r="BI56">
        <f t="shared" ref="BI56:BI87" si="52">radius_rain*COS(RADIANS(BH56))</f>
        <v>50</v>
      </c>
      <c r="BJ56">
        <f t="shared" ref="BJ56:BJ87" si="53">radius_rain*SIN(RADIANS(BH56))</f>
        <v>0</v>
      </c>
    </row>
    <row r="57" spans="60:62" x14ac:dyDescent="0.25">
      <c r="BH57">
        <f>BH56+5</f>
        <v>5</v>
      </c>
      <c r="BI57">
        <f t="shared" si="52"/>
        <v>49.80973490458728</v>
      </c>
      <c r="BJ57">
        <f t="shared" si="53"/>
        <v>4.3577871373829087</v>
      </c>
    </row>
    <row r="58" spans="60:62" x14ac:dyDescent="0.25">
      <c r="BH58">
        <f t="shared" ref="BH58:BH121" si="54">BH57+5</f>
        <v>10</v>
      </c>
      <c r="BI58">
        <f t="shared" si="52"/>
        <v>49.240387650610401</v>
      </c>
      <c r="BJ58">
        <f t="shared" si="53"/>
        <v>8.6824088833465165</v>
      </c>
    </row>
    <row r="59" spans="60:62" x14ac:dyDescent="0.25">
      <c r="BH59">
        <f t="shared" si="54"/>
        <v>15</v>
      </c>
      <c r="BI59">
        <f t="shared" si="52"/>
        <v>48.296291314453413</v>
      </c>
      <c r="BJ59">
        <f t="shared" si="53"/>
        <v>12.940952255126037</v>
      </c>
    </row>
    <row r="60" spans="60:62" x14ac:dyDescent="0.25">
      <c r="BH60">
        <f t="shared" si="54"/>
        <v>20</v>
      </c>
      <c r="BI60">
        <f t="shared" si="52"/>
        <v>46.984631039295422</v>
      </c>
      <c r="BJ60">
        <f t="shared" si="53"/>
        <v>17.101007166283434</v>
      </c>
    </row>
    <row r="61" spans="60:62" x14ac:dyDescent="0.25">
      <c r="BH61">
        <f t="shared" si="54"/>
        <v>25</v>
      </c>
      <c r="BI61">
        <f t="shared" si="52"/>
        <v>45.315389351832494</v>
      </c>
      <c r="BJ61">
        <f t="shared" si="53"/>
        <v>21.130913087034973</v>
      </c>
    </row>
    <row r="62" spans="60:62" x14ac:dyDescent="0.25">
      <c r="BH62">
        <f t="shared" si="54"/>
        <v>30</v>
      </c>
      <c r="BI62">
        <f t="shared" si="52"/>
        <v>43.301270189221938</v>
      </c>
      <c r="BJ62">
        <f t="shared" si="53"/>
        <v>24.999999999999996</v>
      </c>
    </row>
    <row r="63" spans="60:62" x14ac:dyDescent="0.25">
      <c r="BH63">
        <f t="shared" si="54"/>
        <v>35</v>
      </c>
      <c r="BI63">
        <f t="shared" si="52"/>
        <v>40.957602214449587</v>
      </c>
      <c r="BJ63">
        <f t="shared" si="53"/>
        <v>28.678821817552304</v>
      </c>
    </row>
    <row r="64" spans="60:62" x14ac:dyDescent="0.25">
      <c r="BH64">
        <f t="shared" si="54"/>
        <v>40</v>
      </c>
      <c r="BI64">
        <f t="shared" si="52"/>
        <v>38.302222155948904</v>
      </c>
      <c r="BJ64">
        <f t="shared" si="53"/>
        <v>32.139380484326963</v>
      </c>
    </row>
    <row r="65" spans="60:62" x14ac:dyDescent="0.25">
      <c r="BH65">
        <f t="shared" si="54"/>
        <v>45</v>
      </c>
      <c r="BI65">
        <f t="shared" si="52"/>
        <v>35.355339059327378</v>
      </c>
      <c r="BJ65">
        <f t="shared" si="53"/>
        <v>35.35533905932737</v>
      </c>
    </row>
    <row r="66" spans="60:62" x14ac:dyDescent="0.25">
      <c r="BH66">
        <f t="shared" si="54"/>
        <v>50</v>
      </c>
      <c r="BI66">
        <f t="shared" si="52"/>
        <v>32.139380484326971</v>
      </c>
      <c r="BJ66">
        <f t="shared" si="53"/>
        <v>38.302222155948904</v>
      </c>
    </row>
    <row r="67" spans="60:62" x14ac:dyDescent="0.25">
      <c r="BH67">
        <f t="shared" si="54"/>
        <v>55</v>
      </c>
      <c r="BI67">
        <f t="shared" si="52"/>
        <v>28.678821817552308</v>
      </c>
      <c r="BJ67">
        <f t="shared" si="53"/>
        <v>40.957602214449587</v>
      </c>
    </row>
    <row r="68" spans="60:62" x14ac:dyDescent="0.25">
      <c r="BH68">
        <f t="shared" si="54"/>
        <v>60</v>
      </c>
      <c r="BI68">
        <f t="shared" si="52"/>
        <v>25.000000000000007</v>
      </c>
      <c r="BJ68">
        <f t="shared" si="53"/>
        <v>43.301270189221931</v>
      </c>
    </row>
    <row r="69" spans="60:62" x14ac:dyDescent="0.25">
      <c r="BH69">
        <f t="shared" si="54"/>
        <v>65</v>
      </c>
      <c r="BI69">
        <f t="shared" si="52"/>
        <v>21.130913087034973</v>
      </c>
      <c r="BJ69">
        <f t="shared" si="53"/>
        <v>45.315389351832494</v>
      </c>
    </row>
    <row r="70" spans="60:62" x14ac:dyDescent="0.25">
      <c r="BH70">
        <f t="shared" si="54"/>
        <v>70</v>
      </c>
      <c r="BI70">
        <f t="shared" si="52"/>
        <v>17.101007166283441</v>
      </c>
      <c r="BJ70">
        <f t="shared" si="53"/>
        <v>46.984631039295415</v>
      </c>
    </row>
    <row r="71" spans="60:62" x14ac:dyDescent="0.25">
      <c r="BH71">
        <f t="shared" si="54"/>
        <v>75</v>
      </c>
      <c r="BI71">
        <f t="shared" si="52"/>
        <v>12.940952255126037</v>
      </c>
      <c r="BJ71">
        <f t="shared" si="53"/>
        <v>48.296291314453413</v>
      </c>
    </row>
    <row r="72" spans="60:62" x14ac:dyDescent="0.25">
      <c r="BH72">
        <f t="shared" si="54"/>
        <v>80</v>
      </c>
      <c r="BI72">
        <f t="shared" si="52"/>
        <v>8.6824088833465201</v>
      </c>
      <c r="BJ72">
        <f t="shared" si="53"/>
        <v>49.240387650610401</v>
      </c>
    </row>
    <row r="73" spans="60:62" x14ac:dyDescent="0.25">
      <c r="BH73">
        <f t="shared" si="54"/>
        <v>85</v>
      </c>
      <c r="BI73">
        <f t="shared" si="52"/>
        <v>4.3577871373829069</v>
      </c>
      <c r="BJ73">
        <f t="shared" si="53"/>
        <v>49.80973490458728</v>
      </c>
    </row>
    <row r="74" spans="60:62" x14ac:dyDescent="0.25">
      <c r="BH74">
        <f t="shared" si="54"/>
        <v>90</v>
      </c>
      <c r="BI74">
        <f t="shared" si="52"/>
        <v>3.06287113727155E-15</v>
      </c>
      <c r="BJ74">
        <f t="shared" si="53"/>
        <v>50</v>
      </c>
    </row>
    <row r="75" spans="60:62" x14ac:dyDescent="0.25">
      <c r="BH75">
        <f t="shared" si="54"/>
        <v>95</v>
      </c>
      <c r="BI75">
        <f t="shared" si="52"/>
        <v>-4.3577871373829113</v>
      </c>
      <c r="BJ75">
        <f t="shared" si="53"/>
        <v>49.80973490458728</v>
      </c>
    </row>
    <row r="76" spans="60:62" x14ac:dyDescent="0.25">
      <c r="BH76">
        <f t="shared" si="54"/>
        <v>100</v>
      </c>
      <c r="BI76">
        <f t="shared" si="52"/>
        <v>-8.6824088833465147</v>
      </c>
      <c r="BJ76">
        <f t="shared" si="53"/>
        <v>49.240387650610401</v>
      </c>
    </row>
    <row r="77" spans="60:62" x14ac:dyDescent="0.25">
      <c r="BH77">
        <f t="shared" si="54"/>
        <v>105</v>
      </c>
      <c r="BI77">
        <f t="shared" si="52"/>
        <v>-12.940952255126042</v>
      </c>
      <c r="BJ77">
        <f t="shared" si="53"/>
        <v>48.296291314453413</v>
      </c>
    </row>
    <row r="78" spans="60:62" x14ac:dyDescent="0.25">
      <c r="BH78">
        <f t="shared" si="54"/>
        <v>110</v>
      </c>
      <c r="BI78">
        <f t="shared" si="52"/>
        <v>-17.101007166283434</v>
      </c>
      <c r="BJ78">
        <f t="shared" si="53"/>
        <v>46.984631039295422</v>
      </c>
    </row>
    <row r="79" spans="60:62" x14ac:dyDescent="0.25">
      <c r="BH79">
        <f t="shared" si="54"/>
        <v>115</v>
      </c>
      <c r="BI79">
        <f t="shared" si="52"/>
        <v>-21.130913087034966</v>
      </c>
      <c r="BJ79">
        <f t="shared" si="53"/>
        <v>45.315389351832501</v>
      </c>
    </row>
    <row r="80" spans="60:62" x14ac:dyDescent="0.25">
      <c r="BH80">
        <f t="shared" si="54"/>
        <v>120</v>
      </c>
      <c r="BI80">
        <f t="shared" si="52"/>
        <v>-24.999999999999989</v>
      </c>
      <c r="BJ80">
        <f t="shared" si="53"/>
        <v>43.301270189221938</v>
      </c>
    </row>
    <row r="81" spans="1:62" x14ac:dyDescent="0.25">
      <c r="BH81">
        <f t="shared" si="54"/>
        <v>125</v>
      </c>
      <c r="BI81">
        <f t="shared" si="52"/>
        <v>-28.678821817552308</v>
      </c>
      <c r="BJ81">
        <f t="shared" si="53"/>
        <v>40.957602214449587</v>
      </c>
    </row>
    <row r="82" spans="1:62" x14ac:dyDescent="0.25">
      <c r="H82" t="s">
        <v>164</v>
      </c>
      <c r="BH82">
        <f t="shared" si="54"/>
        <v>130</v>
      </c>
      <c r="BI82">
        <f t="shared" si="52"/>
        <v>-32.139380484326971</v>
      </c>
      <c r="BJ82">
        <f t="shared" si="53"/>
        <v>38.302222155948904</v>
      </c>
    </row>
    <row r="83" spans="1:62" x14ac:dyDescent="0.25">
      <c r="H83" t="s">
        <v>165</v>
      </c>
      <c r="BH83">
        <f t="shared" si="54"/>
        <v>135</v>
      </c>
      <c r="BI83">
        <f t="shared" si="52"/>
        <v>-35.35533905932737</v>
      </c>
      <c r="BJ83">
        <f t="shared" si="53"/>
        <v>35.355339059327378</v>
      </c>
    </row>
    <row r="84" spans="1:62" x14ac:dyDescent="0.25">
      <c r="H84" t="s">
        <v>166</v>
      </c>
      <c r="BH84">
        <f t="shared" si="54"/>
        <v>140</v>
      </c>
      <c r="BI84">
        <f t="shared" si="52"/>
        <v>-38.302222155948897</v>
      </c>
      <c r="BJ84">
        <f t="shared" si="53"/>
        <v>32.139380484326971</v>
      </c>
    </row>
    <row r="85" spans="1:62" x14ac:dyDescent="0.25">
      <c r="H85" t="s">
        <v>167</v>
      </c>
      <c r="BH85">
        <f t="shared" si="54"/>
        <v>145</v>
      </c>
      <c r="BI85">
        <f t="shared" si="52"/>
        <v>-40.957602214449594</v>
      </c>
      <c r="BJ85">
        <f t="shared" si="53"/>
        <v>28.678821817552297</v>
      </c>
    </row>
    <row r="86" spans="1:62" x14ac:dyDescent="0.25">
      <c r="A86" t="s">
        <v>181</v>
      </c>
      <c r="H86" t="s">
        <v>168</v>
      </c>
      <c r="BH86">
        <f t="shared" si="54"/>
        <v>150</v>
      </c>
      <c r="BI86">
        <f t="shared" si="52"/>
        <v>-43.301270189221938</v>
      </c>
      <c r="BJ86">
        <f t="shared" si="53"/>
        <v>24.999999999999996</v>
      </c>
    </row>
    <row r="87" spans="1:62" x14ac:dyDescent="0.25">
      <c r="A87" t="s">
        <v>167</v>
      </c>
      <c r="H87" t="s">
        <v>169</v>
      </c>
      <c r="BH87">
        <f t="shared" si="54"/>
        <v>155</v>
      </c>
      <c r="BI87">
        <f t="shared" si="52"/>
        <v>-45.315389351832494</v>
      </c>
      <c r="BJ87">
        <f t="shared" si="53"/>
        <v>21.130913087034976</v>
      </c>
    </row>
    <row r="88" spans="1:62" x14ac:dyDescent="0.25">
      <c r="A88" t="s">
        <v>182</v>
      </c>
      <c r="H88" t="s">
        <v>170</v>
      </c>
      <c r="BH88">
        <f t="shared" si="54"/>
        <v>160</v>
      </c>
      <c r="BI88">
        <f t="shared" ref="BI88:BI119" si="55">radius_rain*COS(RADIANS(BH88))</f>
        <v>-46.984631039295415</v>
      </c>
      <c r="BJ88">
        <f t="shared" ref="BJ88:BJ119" si="56">radius_rain*SIN(RADIANS(BH88))</f>
        <v>17.101007166283445</v>
      </c>
    </row>
    <row r="89" spans="1:62" x14ac:dyDescent="0.25">
      <c r="A89" t="s">
        <v>183</v>
      </c>
      <c r="H89" t="s">
        <v>171</v>
      </c>
      <c r="BH89">
        <f t="shared" si="54"/>
        <v>165</v>
      </c>
      <c r="BI89">
        <f t="shared" si="55"/>
        <v>-48.296291314453413</v>
      </c>
      <c r="BJ89">
        <f t="shared" si="56"/>
        <v>12.940952255126051</v>
      </c>
    </row>
    <row r="90" spans="1:62" x14ac:dyDescent="0.25">
      <c r="A90" t="s">
        <v>176</v>
      </c>
      <c r="H90" t="s">
        <v>172</v>
      </c>
      <c r="BH90">
        <f t="shared" si="54"/>
        <v>170</v>
      </c>
      <c r="BI90">
        <f t="shared" si="55"/>
        <v>-49.240387650610401</v>
      </c>
      <c r="BJ90">
        <f t="shared" si="56"/>
        <v>8.682408883346513</v>
      </c>
    </row>
    <row r="91" spans="1:62" x14ac:dyDescent="0.25">
      <c r="A91" t="s">
        <v>184</v>
      </c>
      <c r="H91" t="s">
        <v>173</v>
      </c>
      <c r="BH91">
        <f t="shared" si="54"/>
        <v>175</v>
      </c>
      <c r="BI91">
        <f t="shared" si="55"/>
        <v>-49.80973490458728</v>
      </c>
      <c r="BJ91">
        <f t="shared" si="56"/>
        <v>4.3577871373829096</v>
      </c>
    </row>
    <row r="92" spans="1:62" x14ac:dyDescent="0.25">
      <c r="A92" t="s">
        <v>167</v>
      </c>
      <c r="H92" t="s">
        <v>174</v>
      </c>
      <c r="BH92">
        <f t="shared" si="54"/>
        <v>180</v>
      </c>
      <c r="BI92">
        <f t="shared" si="55"/>
        <v>-50</v>
      </c>
      <c r="BJ92">
        <f t="shared" si="56"/>
        <v>6.1257422745431001E-15</v>
      </c>
    </row>
    <row r="93" spans="1:62" x14ac:dyDescent="0.25">
      <c r="A93" t="s">
        <v>182</v>
      </c>
      <c r="H93" t="s">
        <v>175</v>
      </c>
      <c r="BH93">
        <f t="shared" si="54"/>
        <v>185</v>
      </c>
      <c r="BI93">
        <f t="shared" si="55"/>
        <v>-49.80973490458728</v>
      </c>
      <c r="BJ93">
        <f t="shared" si="56"/>
        <v>-4.3577871373828971</v>
      </c>
    </row>
    <row r="94" spans="1:62" x14ac:dyDescent="0.25">
      <c r="A94" t="s">
        <v>185</v>
      </c>
      <c r="H94" t="s">
        <v>176</v>
      </c>
      <c r="BH94">
        <f t="shared" si="54"/>
        <v>190</v>
      </c>
      <c r="BI94">
        <f t="shared" si="55"/>
        <v>-49.240387650610401</v>
      </c>
      <c r="BJ94">
        <f t="shared" si="56"/>
        <v>-8.6824088833465236</v>
      </c>
    </row>
    <row r="95" spans="1:62" x14ac:dyDescent="0.25">
      <c r="A95" t="s">
        <v>186</v>
      </c>
      <c r="H95" t="s">
        <v>177</v>
      </c>
      <c r="BH95">
        <f t="shared" si="54"/>
        <v>195</v>
      </c>
      <c r="BI95">
        <f t="shared" si="55"/>
        <v>-48.296291314453413</v>
      </c>
      <c r="BJ95">
        <f t="shared" si="56"/>
        <v>-12.940952255126041</v>
      </c>
    </row>
    <row r="96" spans="1:62" x14ac:dyDescent="0.25">
      <c r="A96" t="s">
        <v>187</v>
      </c>
      <c r="H96" t="s">
        <v>178</v>
      </c>
      <c r="BH96">
        <f t="shared" si="54"/>
        <v>200</v>
      </c>
      <c r="BI96">
        <f t="shared" si="55"/>
        <v>-46.984631039295422</v>
      </c>
      <c r="BJ96">
        <f t="shared" si="56"/>
        <v>-17.101007166283434</v>
      </c>
    </row>
    <row r="97" spans="1:62" x14ac:dyDescent="0.25">
      <c r="A97" t="s">
        <v>176</v>
      </c>
      <c r="H97" t="s">
        <v>179</v>
      </c>
      <c r="BH97">
        <f t="shared" si="54"/>
        <v>205</v>
      </c>
      <c r="BI97">
        <f t="shared" si="55"/>
        <v>-45.315389351832501</v>
      </c>
      <c r="BJ97">
        <f t="shared" si="56"/>
        <v>-21.130913087034962</v>
      </c>
    </row>
    <row r="98" spans="1:62" x14ac:dyDescent="0.25">
      <c r="H98" t="s">
        <v>180</v>
      </c>
      <c r="BH98">
        <f t="shared" si="54"/>
        <v>210</v>
      </c>
      <c r="BI98">
        <f t="shared" si="55"/>
        <v>-43.301270189221931</v>
      </c>
      <c r="BJ98">
        <f t="shared" si="56"/>
        <v>-25.000000000000007</v>
      </c>
    </row>
    <row r="99" spans="1:62" x14ac:dyDescent="0.25">
      <c r="A99" t="s">
        <v>60</v>
      </c>
      <c r="B99" t="s">
        <v>188</v>
      </c>
      <c r="C99" t="s">
        <v>189</v>
      </c>
      <c r="H99" t="s">
        <v>176</v>
      </c>
      <c r="BH99">
        <f t="shared" si="54"/>
        <v>215</v>
      </c>
      <c r="BI99">
        <f t="shared" si="55"/>
        <v>-40.957602214449587</v>
      </c>
      <c r="BJ99">
        <f t="shared" si="56"/>
        <v>-28.678821817552308</v>
      </c>
    </row>
    <row r="100" spans="1:62" x14ac:dyDescent="0.25">
      <c r="A100">
        <f>0</f>
        <v>0</v>
      </c>
      <c r="B100">
        <f>RADIANS(A100)</f>
        <v>0</v>
      </c>
      <c r="D100" t="s">
        <v>193</v>
      </c>
      <c r="E100" t="s">
        <v>197</v>
      </c>
      <c r="H100" t="s">
        <v>190</v>
      </c>
      <c r="I100" t="s">
        <v>191</v>
      </c>
      <c r="J100" t="s">
        <v>192</v>
      </c>
      <c r="K100" t="s">
        <v>194</v>
      </c>
      <c r="L100" t="s">
        <v>195</v>
      </c>
      <c r="M100" t="s">
        <v>196</v>
      </c>
      <c r="N100" t="s">
        <v>198</v>
      </c>
      <c r="BH100">
        <f t="shared" si="54"/>
        <v>220</v>
      </c>
      <c r="BI100">
        <f t="shared" si="55"/>
        <v>-38.302222155948904</v>
      </c>
      <c r="BJ100">
        <f t="shared" si="56"/>
        <v>-32.139380484326963</v>
      </c>
    </row>
    <row r="101" spans="1:62" x14ac:dyDescent="0.25">
      <c r="A101">
        <f>A100+1</f>
        <v>1</v>
      </c>
      <c r="B101">
        <f>RADIANS(A101)</f>
        <v>1.7453292519943295E-2</v>
      </c>
      <c r="C101">
        <f t="shared" ref="C101:C132" si="57">ASIN(SIN(B101)/Index_of_ref)</f>
        <v>1.3122486714597849E-2</v>
      </c>
      <c r="D101">
        <f>J101*(1-J101)^2</f>
        <v>1.9262632503290741E-2</v>
      </c>
      <c r="E101">
        <f>SIN(B101)</f>
        <v>1.7452406437283512E-2</v>
      </c>
      <c r="H101">
        <f>(TAN(B101-C101)/TAN(B101+C101))^2</f>
        <v>2.0050123355815828E-2</v>
      </c>
      <c r="I101">
        <f>(SIN(B101-C101)/SIN(B101+C101))^2</f>
        <v>2.0068503062143757E-2</v>
      </c>
      <c r="J101">
        <f>0.5*(H101+I101)</f>
        <v>2.0059313208979794E-2</v>
      </c>
      <c r="K101">
        <f>4*C101-2*B101</f>
        <v>1.7583361818504804E-2</v>
      </c>
      <c r="L101">
        <f t="shared" ref="L101:L132" si="58">1/SQRT(1-(SIN(B101)/Index_of_ref)^2)*COS(B101)/Index_of_ref</f>
        <v>0.75182991582624037</v>
      </c>
      <c r="M101">
        <f>4*L101-2</f>
        <v>1.0073196633049615</v>
      </c>
      <c r="N101">
        <f t="shared" ref="N101:N164" si="59">M101/COS(M101)</f>
        <v>1.885912228535005</v>
      </c>
      <c r="O101">
        <f>1/N101</f>
        <v>0.53024737040748171</v>
      </c>
      <c r="BH101">
        <f t="shared" si="54"/>
        <v>225</v>
      </c>
      <c r="BI101">
        <f t="shared" si="55"/>
        <v>-35.355339059327385</v>
      </c>
      <c r="BJ101">
        <f t="shared" si="56"/>
        <v>-35.35533905932737</v>
      </c>
    </row>
    <row r="102" spans="1:62" x14ac:dyDescent="0.25">
      <c r="A102">
        <f t="shared" ref="A102:A165" si="60">A101+1</f>
        <v>2</v>
      </c>
      <c r="B102">
        <f t="shared" ref="B102:B165" si="61">RADIANS(A102)</f>
        <v>3.4906585039886591E-2</v>
      </c>
      <c r="C102">
        <f t="shared" si="57"/>
        <v>2.6243235299245854E-2</v>
      </c>
      <c r="D102">
        <f t="shared" ref="D102:D165" si="62">J102*(1-J102)^2</f>
        <v>1.9262646460677674E-2</v>
      </c>
      <c r="E102">
        <f t="shared" ref="E102:E165" si="63">SIN(B102)</f>
        <v>3.4899496702500969E-2</v>
      </c>
      <c r="H102">
        <f t="shared" ref="H102:H165" si="64">(TAN(B102-C102)/TAN(B102+C102))^2</f>
        <v>2.0022553852407525E-2</v>
      </c>
      <c r="I102">
        <f t="shared" ref="I102:I165" si="65">(SIN(B102-C102)/SIN(B102+C102))^2</f>
        <v>2.0096102875745162E-2</v>
      </c>
      <c r="J102">
        <f t="shared" ref="J102:J165" si="66">0.5*(H102+I102)</f>
        <v>2.0059328364076343E-2</v>
      </c>
      <c r="K102">
        <f t="shared" ref="K102:K165" si="67">4*C102-2*B102</f>
        <v>3.5159771117210234E-2</v>
      </c>
      <c r="L102">
        <f t="shared" si="58"/>
        <v>0.75168050355737426</v>
      </c>
      <c r="M102">
        <f t="shared" ref="M102:M165" si="68">4*L102-2</f>
        <v>1.006722014229497</v>
      </c>
      <c r="N102">
        <f t="shared" si="59"/>
        <v>1.8830124215969877</v>
      </c>
      <c r="O102">
        <f t="shared" ref="O102:O165" si="69">1/N102</f>
        <v>0.53106394229300802</v>
      </c>
      <c r="BH102">
        <f t="shared" si="54"/>
        <v>230</v>
      </c>
      <c r="BI102">
        <f t="shared" si="55"/>
        <v>-32.139380484326971</v>
      </c>
      <c r="BJ102">
        <f t="shared" si="56"/>
        <v>-38.302222155948897</v>
      </c>
    </row>
    <row r="103" spans="1:62" x14ac:dyDescent="0.25">
      <c r="A103">
        <f t="shared" si="60"/>
        <v>3</v>
      </c>
      <c r="B103">
        <f t="shared" si="61"/>
        <v>5.235987755982989E-2</v>
      </c>
      <c r="C103">
        <f t="shared" si="57"/>
        <v>3.9360505459081416E-2</v>
      </c>
      <c r="D103">
        <f t="shared" si="62"/>
        <v>1.9262707042635604E-2</v>
      </c>
      <c r="E103">
        <f t="shared" si="63"/>
        <v>5.2335956242943835E-2</v>
      </c>
      <c r="H103">
        <f t="shared" si="64"/>
        <v>1.9976594830463126E-2</v>
      </c>
      <c r="I103">
        <f t="shared" si="65"/>
        <v>2.0142193458931271E-2</v>
      </c>
      <c r="J103">
        <f t="shared" si="66"/>
        <v>2.00593941446972E-2</v>
      </c>
      <c r="K103">
        <f t="shared" si="67"/>
        <v>5.2722266716665883E-2</v>
      </c>
      <c r="L103">
        <f t="shared" si="58"/>
        <v>0.75143127633011331</v>
      </c>
      <c r="M103">
        <f t="shared" si="68"/>
        <v>1.0057251053204532</v>
      </c>
      <c r="N103">
        <f t="shared" si="59"/>
        <v>1.8781890623748183</v>
      </c>
      <c r="O103">
        <f t="shared" si="69"/>
        <v>0.53242776248285717</v>
      </c>
      <c r="BH103">
        <f t="shared" si="54"/>
        <v>235</v>
      </c>
      <c r="BI103">
        <f t="shared" si="55"/>
        <v>-28.678821817552318</v>
      </c>
      <c r="BJ103">
        <f t="shared" si="56"/>
        <v>-40.957602214449579</v>
      </c>
    </row>
    <row r="104" spans="1:62" x14ac:dyDescent="0.25">
      <c r="A104">
        <f t="shared" si="60"/>
        <v>4</v>
      </c>
      <c r="B104">
        <f t="shared" si="61"/>
        <v>6.9813170079773182E-2</v>
      </c>
      <c r="C104">
        <f t="shared" si="57"/>
        <v>5.247255256586595E-2</v>
      </c>
      <c r="D104">
        <f t="shared" si="62"/>
        <v>1.9262870550759047E-2</v>
      </c>
      <c r="E104">
        <f t="shared" si="63"/>
        <v>6.9756473744125302E-2</v>
      </c>
      <c r="H104">
        <f t="shared" si="64"/>
        <v>1.9912231719444604E-2</v>
      </c>
      <c r="I104">
        <f t="shared" si="65"/>
        <v>2.0206911648318206E-2</v>
      </c>
      <c r="J104">
        <f t="shared" si="66"/>
        <v>2.0059571683881405E-2</v>
      </c>
      <c r="K104">
        <f t="shared" si="67"/>
        <v>7.0263870103917436E-2</v>
      </c>
      <c r="L104">
        <f t="shared" si="58"/>
        <v>0.75108192361977111</v>
      </c>
      <c r="M104">
        <f t="shared" si="68"/>
        <v>1.0043276944790844</v>
      </c>
      <c r="N104">
        <f t="shared" si="59"/>
        <v>1.8714565572132753</v>
      </c>
      <c r="O104">
        <f t="shared" si="69"/>
        <v>0.53434315434447877</v>
      </c>
      <c r="BH104">
        <f t="shared" si="54"/>
        <v>240</v>
      </c>
      <c r="BI104">
        <f t="shared" si="55"/>
        <v>-25.000000000000021</v>
      </c>
      <c r="BJ104">
        <f t="shared" si="56"/>
        <v>-43.301270189221917</v>
      </c>
    </row>
    <row r="105" spans="1:62" x14ac:dyDescent="0.25">
      <c r="A105">
        <f t="shared" si="60"/>
        <v>5</v>
      </c>
      <c r="B105">
        <f t="shared" si="61"/>
        <v>8.7266462599716474E-2</v>
      </c>
      <c r="C105">
        <f t="shared" si="57"/>
        <v>6.5577625482423851E-2</v>
      </c>
      <c r="D105">
        <f t="shared" si="62"/>
        <v>1.9263216454513423E-2</v>
      </c>
      <c r="E105">
        <f t="shared" si="63"/>
        <v>8.7155742747658166E-2</v>
      </c>
      <c r="H105">
        <f t="shared" si="64"/>
        <v>1.9829444531322432E-2</v>
      </c>
      <c r="I105">
        <f t="shared" si="65"/>
        <v>2.0290450010640376E-2</v>
      </c>
      <c r="J105">
        <f t="shared" si="66"/>
        <v>2.0059947270981406E-2</v>
      </c>
      <c r="K105">
        <f t="shared" si="67"/>
        <v>8.7777576730262458E-2</v>
      </c>
      <c r="L105">
        <f t="shared" si="58"/>
        <v>0.75063200998019497</v>
      </c>
      <c r="M105">
        <f t="shared" si="68"/>
        <v>1.0025280399207799</v>
      </c>
      <c r="N105">
        <f t="shared" si="59"/>
        <v>1.8628349315783703</v>
      </c>
      <c r="O105">
        <f t="shared" si="69"/>
        <v>0.53681621653546363</v>
      </c>
      <c r="BH105">
        <f t="shared" si="54"/>
        <v>245</v>
      </c>
      <c r="BI105">
        <f t="shared" si="55"/>
        <v>-21.130913087034958</v>
      </c>
      <c r="BJ105">
        <f t="shared" si="56"/>
        <v>-45.315389351832501</v>
      </c>
    </row>
    <row r="106" spans="1:62" x14ac:dyDescent="0.25">
      <c r="A106">
        <f t="shared" si="60"/>
        <v>6</v>
      </c>
      <c r="B106">
        <f t="shared" si="61"/>
        <v>0.10471975511965978</v>
      </c>
      <c r="C106">
        <f t="shared" si="57"/>
        <v>7.8673964376442987E-2</v>
      </c>
      <c r="D106">
        <f t="shared" si="62"/>
        <v>1.92638480454566E-2</v>
      </c>
      <c r="E106">
        <f t="shared" si="63"/>
        <v>0.10452846326765347</v>
      </c>
      <c r="H106">
        <f t="shared" si="64"/>
        <v>1.9728208278359749E-2</v>
      </c>
      <c r="I106">
        <f t="shared" si="65"/>
        <v>2.0393057847103095E-2</v>
      </c>
      <c r="J106">
        <f t="shared" si="66"/>
        <v>2.0060633062731422E-2</v>
      </c>
      <c r="K106">
        <f t="shared" si="67"/>
        <v>0.10525634726645239</v>
      </c>
      <c r="L106">
        <f t="shared" si="58"/>
        <v>0.75008097433295751</v>
      </c>
      <c r="M106">
        <f t="shared" si="68"/>
        <v>1.00032389733183</v>
      </c>
      <c r="N106">
        <f t="shared" si="59"/>
        <v>1.8523496887614459</v>
      </c>
      <c r="O106">
        <f t="shared" si="69"/>
        <v>0.53985486977280162</v>
      </c>
      <c r="BH106">
        <f t="shared" si="54"/>
        <v>250</v>
      </c>
      <c r="BI106">
        <f t="shared" si="55"/>
        <v>-17.101007166283427</v>
      </c>
      <c r="BJ106">
        <f t="shared" si="56"/>
        <v>-46.984631039295422</v>
      </c>
    </row>
    <row r="107" spans="1:62" x14ac:dyDescent="0.25">
      <c r="A107">
        <f t="shared" si="60"/>
        <v>7</v>
      </c>
      <c r="B107">
        <f t="shared" si="61"/>
        <v>0.12217304763960307</v>
      </c>
      <c r="C107">
        <f t="shared" si="57"/>
        <v>9.1759798520105615E-2</v>
      </c>
      <c r="D107">
        <f t="shared" si="62"/>
        <v>1.9264893288440204E-2</v>
      </c>
      <c r="E107">
        <f t="shared" si="63"/>
        <v>0.12186934340514748</v>
      </c>
      <c r="H107">
        <f t="shared" si="64"/>
        <v>1.9608493520461092E-2</v>
      </c>
      <c r="I107">
        <f t="shared" si="65"/>
        <v>2.0515042497474618E-2</v>
      </c>
      <c r="J107">
        <f t="shared" si="66"/>
        <v>2.0061768008967855E-2</v>
      </c>
      <c r="K107">
        <f t="shared" si="67"/>
        <v>0.12269309880121632</v>
      </c>
      <c r="L107">
        <f t="shared" si="58"/>
        <v>0.74942812905462586</v>
      </c>
      <c r="M107">
        <f t="shared" si="68"/>
        <v>0.99771251621850343</v>
      </c>
      <c r="N107">
        <f t="shared" si="59"/>
        <v>1.8400316311927165</v>
      </c>
      <c r="O107">
        <f t="shared" si="69"/>
        <v>0.54346891816843146</v>
      </c>
      <c r="BH107">
        <f t="shared" si="54"/>
        <v>255</v>
      </c>
      <c r="BI107">
        <f t="shared" si="55"/>
        <v>-12.940952255126032</v>
      </c>
      <c r="BJ107">
        <f t="shared" si="56"/>
        <v>-48.296291314453413</v>
      </c>
    </row>
    <row r="108" spans="1:62" x14ac:dyDescent="0.25">
      <c r="A108">
        <f t="shared" si="60"/>
        <v>8</v>
      </c>
      <c r="B108">
        <f t="shared" si="61"/>
        <v>0.13962634015954636</v>
      </c>
      <c r="C108">
        <f t="shared" si="57"/>
        <v>0.10483334407203428</v>
      </c>
      <c r="D108">
        <f t="shared" si="62"/>
        <v>1.9266505877463987E-2</v>
      </c>
      <c r="E108">
        <f t="shared" si="63"/>
        <v>0.13917310096006544</v>
      </c>
      <c r="H108">
        <f t="shared" si="64"/>
        <v>1.9470267049926483E-2</v>
      </c>
      <c r="I108">
        <f t="shared" si="65"/>
        <v>2.0656770953666807E-2</v>
      </c>
      <c r="J108">
        <f t="shared" si="66"/>
        <v>2.0063519001796645E-2</v>
      </c>
      <c r="K108">
        <f t="shared" si="67"/>
        <v>0.14008069596904438</v>
      </c>
      <c r="L108">
        <f t="shared" si="58"/>
        <v>0.74867265886305778</v>
      </c>
      <c r="M108">
        <f t="shared" si="68"/>
        <v>0.99469063545223113</v>
      </c>
      <c r="N108">
        <f t="shared" si="59"/>
        <v>1.8259166465130314</v>
      </c>
      <c r="O108">
        <f t="shared" si="69"/>
        <v>0.54767012607596766</v>
      </c>
      <c r="BH108">
        <f t="shared" si="54"/>
        <v>260</v>
      </c>
      <c r="BI108">
        <f t="shared" si="55"/>
        <v>-8.6824088833465165</v>
      </c>
      <c r="BJ108">
        <f t="shared" si="56"/>
        <v>-49.240387650610401</v>
      </c>
    </row>
    <row r="109" spans="1:62" x14ac:dyDescent="0.25">
      <c r="A109">
        <f t="shared" si="60"/>
        <v>9</v>
      </c>
      <c r="B109">
        <f t="shared" si="61"/>
        <v>0.15707963267948966</v>
      </c>
      <c r="C109">
        <f t="shared" si="57"/>
        <v>0.1178928018380543</v>
      </c>
      <c r="D109">
        <f t="shared" si="62"/>
        <v>1.9268866505711479E-2</v>
      </c>
      <c r="E109">
        <f t="shared" si="63"/>
        <v>0.15643446504023087</v>
      </c>
      <c r="H109">
        <f t="shared" si="64"/>
        <v>1.9313492723417418E-2</v>
      </c>
      <c r="I109">
        <f t="shared" si="65"/>
        <v>2.0818671794908591E-2</v>
      </c>
      <c r="J109">
        <f t="shared" si="66"/>
        <v>2.0066082259163003E-2</v>
      </c>
      <c r="K109">
        <f t="shared" si="67"/>
        <v>0.15741194199323788</v>
      </c>
      <c r="L109">
        <f t="shared" si="58"/>
        <v>0.74781361950397585</v>
      </c>
      <c r="M109">
        <f t="shared" si="68"/>
        <v>0.99125447801590338</v>
      </c>
      <c r="N109">
        <f t="shared" si="59"/>
        <v>1.8100454609378664</v>
      </c>
      <c r="O109">
        <f t="shared" si="69"/>
        <v>0.55247231165224697</v>
      </c>
      <c r="BH109">
        <f t="shared" si="54"/>
        <v>265</v>
      </c>
      <c r="BI109">
        <f t="shared" si="55"/>
        <v>-4.3577871373829122</v>
      </c>
      <c r="BJ109">
        <f t="shared" si="56"/>
        <v>-49.80973490458728</v>
      </c>
    </row>
    <row r="110" spans="1:62" x14ac:dyDescent="0.25">
      <c r="A110">
        <f t="shared" si="60"/>
        <v>10</v>
      </c>
      <c r="B110">
        <f t="shared" si="61"/>
        <v>0.17453292519943295</v>
      </c>
      <c r="C110">
        <f t="shared" si="57"/>
        <v>0.13093635500730177</v>
      </c>
      <c r="D110">
        <f t="shared" si="62"/>
        <v>1.9272184361233017E-2</v>
      </c>
      <c r="E110">
        <f t="shared" si="63"/>
        <v>0.17364817766693033</v>
      </c>
      <c r="H110">
        <f t="shared" si="64"/>
        <v>1.9138132453037741E-2</v>
      </c>
      <c r="I110">
        <f t="shared" si="65"/>
        <v>2.1001237459079593E-2</v>
      </c>
      <c r="J110">
        <f t="shared" si="66"/>
        <v>2.0069684956058667E-2</v>
      </c>
      <c r="K110">
        <f t="shared" si="67"/>
        <v>0.1746795696303412</v>
      </c>
      <c r="L110">
        <f t="shared" si="58"/>
        <v>0.74684993623942852</v>
      </c>
      <c r="M110">
        <f t="shared" si="68"/>
        <v>0.9873997449577141</v>
      </c>
      <c r="N110">
        <f t="shared" si="59"/>
        <v>1.792463362781596</v>
      </c>
      <c r="O110">
        <f t="shared" si="69"/>
        <v>0.55789145862829315</v>
      </c>
      <c r="BH110">
        <f t="shared" si="54"/>
        <v>270</v>
      </c>
      <c r="BI110">
        <f t="shared" si="55"/>
        <v>-9.1886134118146501E-15</v>
      </c>
      <c r="BJ110">
        <f t="shared" si="56"/>
        <v>-50</v>
      </c>
    </row>
    <row r="111" spans="1:62" x14ac:dyDescent="0.25">
      <c r="A111">
        <f t="shared" si="60"/>
        <v>11</v>
      </c>
      <c r="B111">
        <f t="shared" si="61"/>
        <v>0.19198621771937624</v>
      </c>
      <c r="C111">
        <f t="shared" si="57"/>
        <v>0.14396216686023536</v>
      </c>
      <c r="D111">
        <f t="shared" si="62"/>
        <v>1.9276698861792368E-2</v>
      </c>
      <c r="E111">
        <f t="shared" si="63"/>
        <v>0.1908089953765448</v>
      </c>
      <c r="H111">
        <f t="shared" si="64"/>
        <v>1.8944147370702231E-2</v>
      </c>
      <c r="I111">
        <f t="shared" si="65"/>
        <v>2.1205026867378043E-2</v>
      </c>
      <c r="J111">
        <f t="shared" si="66"/>
        <v>2.0074587119040137E-2</v>
      </c>
      <c r="K111">
        <f t="shared" si="67"/>
        <v>0.19187623200218895</v>
      </c>
      <c r="L111">
        <f t="shared" si="58"/>
        <v>0.74578040214015462</v>
      </c>
      <c r="M111">
        <f t="shared" si="68"/>
        <v>0.98312160856061848</v>
      </c>
      <c r="N111">
        <f t="shared" si="59"/>
        <v>1.7732198992870118</v>
      </c>
      <c r="O111">
        <f t="shared" si="69"/>
        <v>0.56394584811623572</v>
      </c>
      <c r="BH111">
        <f t="shared" si="54"/>
        <v>275</v>
      </c>
      <c r="BI111">
        <f t="shared" si="55"/>
        <v>4.3577871373828945</v>
      </c>
      <c r="BJ111">
        <f t="shared" si="56"/>
        <v>-49.80973490458728</v>
      </c>
    </row>
    <row r="112" spans="1:62" x14ac:dyDescent="0.25">
      <c r="A112">
        <f t="shared" si="60"/>
        <v>12</v>
      </c>
      <c r="B112">
        <f t="shared" si="61"/>
        <v>0.20943951023931956</v>
      </c>
      <c r="C112">
        <f t="shared" si="57"/>
        <v>0.15696837844515082</v>
      </c>
      <c r="D112">
        <f t="shared" si="62"/>
        <v>1.9282681644563884E-2</v>
      </c>
      <c r="E112">
        <f t="shared" si="63"/>
        <v>0.20791169081775934</v>
      </c>
      <c r="H112">
        <f t="shared" si="64"/>
        <v>1.8731499182430895E-2</v>
      </c>
      <c r="I112">
        <f t="shared" si="65"/>
        <v>2.1430668422262586E-2</v>
      </c>
      <c r="J112">
        <f t="shared" si="66"/>
        <v>2.0081083802346741E-2</v>
      </c>
      <c r="K112">
        <f t="shared" si="67"/>
        <v>0.20899449330196418</v>
      </c>
      <c r="L112">
        <f t="shared" si="58"/>
        <v>0.74460367618438228</v>
      </c>
      <c r="M112">
        <f t="shared" si="68"/>
        <v>0.97841470473752912</v>
      </c>
      <c r="N112">
        <f t="shared" si="59"/>
        <v>1.7523685501214834</v>
      </c>
      <c r="O112">
        <f t="shared" si="69"/>
        <v>0.5706562126618141</v>
      </c>
      <c r="BH112">
        <f t="shared" si="54"/>
        <v>280</v>
      </c>
      <c r="BI112">
        <f t="shared" si="55"/>
        <v>8.6824088833464987</v>
      </c>
      <c r="BJ112">
        <f t="shared" si="56"/>
        <v>-49.240387650610408</v>
      </c>
    </row>
    <row r="113" spans="1:62" x14ac:dyDescent="0.25">
      <c r="A113">
        <f t="shared" si="60"/>
        <v>13</v>
      </c>
      <c r="B113">
        <f t="shared" si="61"/>
        <v>0.22689280275926285</v>
      </c>
      <c r="C113">
        <f t="shared" si="57"/>
        <v>0.16995310621984666</v>
      </c>
      <c r="D113">
        <f t="shared" si="62"/>
        <v>1.9290438828681509E-2</v>
      </c>
      <c r="E113">
        <f t="shared" si="63"/>
        <v>0.224951054343865</v>
      </c>
      <c r="H113">
        <f t="shared" si="64"/>
        <v>1.8500151731908474E-2</v>
      </c>
      <c r="I113">
        <f t="shared" si="65"/>
        <v>2.1678863401563397E-2</v>
      </c>
      <c r="J113">
        <f t="shared" si="66"/>
        <v>2.0089507566735935E-2</v>
      </c>
      <c r="K113">
        <f t="shared" si="67"/>
        <v>0.22602681936086094</v>
      </c>
      <c r="L113">
        <f t="shared" si="58"/>
        <v>0.74331828116616971</v>
      </c>
      <c r="M113">
        <f t="shared" si="68"/>
        <v>0.97327312466467886</v>
      </c>
      <c r="N113">
        <f t="shared" si="59"/>
        <v>1.7299663810534673</v>
      </c>
      <c r="O113">
        <f t="shared" si="69"/>
        <v>0.57804591519925808</v>
      </c>
      <c r="BH113">
        <f t="shared" si="54"/>
        <v>285</v>
      </c>
      <c r="BI113">
        <f t="shared" si="55"/>
        <v>12.940952255126014</v>
      </c>
      <c r="BJ113">
        <f t="shared" si="56"/>
        <v>-48.29629131445342</v>
      </c>
    </row>
    <row r="114" spans="1:62" x14ac:dyDescent="0.25">
      <c r="A114">
        <f t="shared" si="60"/>
        <v>14</v>
      </c>
      <c r="B114">
        <f t="shared" si="61"/>
        <v>0.24434609527920614</v>
      </c>
      <c r="C114">
        <f t="shared" si="57"/>
        <v>0.18291443965514842</v>
      </c>
      <c r="D114">
        <f t="shared" si="62"/>
        <v>1.9300313571118811E-2</v>
      </c>
      <c r="E114">
        <f t="shared" si="63"/>
        <v>0.24192189559966773</v>
      </c>
      <c r="H114">
        <f t="shared" si="64"/>
        <v>1.8250072795626945E-2</v>
      </c>
      <c r="I114">
        <f t="shared" si="65"/>
        <v>2.1950389774833975E-2</v>
      </c>
      <c r="J114">
        <f t="shared" si="66"/>
        <v>2.010023128523046E-2</v>
      </c>
      <c r="K114">
        <f t="shared" si="67"/>
        <v>0.24296556806218139</v>
      </c>
      <c r="L114">
        <f t="shared" si="58"/>
        <v>0.74192260141709565</v>
      </c>
      <c r="M114">
        <f t="shared" si="68"/>
        <v>0.9676904056683826</v>
      </c>
      <c r="N114">
        <f t="shared" si="59"/>
        <v>1.7060736814112325</v>
      </c>
      <c r="O114">
        <f t="shared" si="69"/>
        <v>0.58614115609169859</v>
      </c>
      <c r="BH114">
        <f t="shared" si="54"/>
        <v>290</v>
      </c>
      <c r="BI114">
        <f t="shared" si="55"/>
        <v>17.101007166283448</v>
      </c>
      <c r="BJ114">
        <f t="shared" si="56"/>
        <v>-46.984631039295415</v>
      </c>
    </row>
    <row r="115" spans="1:62" x14ac:dyDescent="0.25">
      <c r="A115">
        <f t="shared" si="60"/>
        <v>15</v>
      </c>
      <c r="B115">
        <f t="shared" si="61"/>
        <v>0.26179938779914941</v>
      </c>
      <c r="C115">
        <f t="shared" si="57"/>
        <v>0.19585043879707267</v>
      </c>
      <c r="D115">
        <f t="shared" si="62"/>
        <v>1.9312688939036031E-2</v>
      </c>
      <c r="E115">
        <f t="shared" si="63"/>
        <v>0.25881904510252074</v>
      </c>
      <c r="H115">
        <f t="shared" si="64"/>
        <v>1.7981236135222924E-2</v>
      </c>
      <c r="I115">
        <f t="shared" si="65"/>
        <v>2.2246106471437425E-2</v>
      </c>
      <c r="J115">
        <f t="shared" si="66"/>
        <v>2.0113671303330173E-2</v>
      </c>
      <c r="K115">
        <f t="shared" si="67"/>
        <v>0.25980297958999188</v>
      </c>
      <c r="L115">
        <f t="shared" si="58"/>
        <v>0.74041488034592084</v>
      </c>
      <c r="M115">
        <f t="shared" si="68"/>
        <v>0.96165952138368338</v>
      </c>
      <c r="N115">
        <f t="shared" si="59"/>
        <v>1.6807535889497864</v>
      </c>
      <c r="O115">
        <f t="shared" si="69"/>
        <v>0.59497121206496828</v>
      </c>
      <c r="BH115">
        <f t="shared" si="54"/>
        <v>295</v>
      </c>
      <c r="BI115">
        <f t="shared" si="55"/>
        <v>21.13091308703498</v>
      </c>
      <c r="BJ115">
        <f t="shared" si="56"/>
        <v>-45.315389351832494</v>
      </c>
    </row>
    <row r="116" spans="1:62" x14ac:dyDescent="0.25">
      <c r="A116">
        <f t="shared" si="60"/>
        <v>16</v>
      </c>
      <c r="B116">
        <f t="shared" si="61"/>
        <v>0.27925268031909273</v>
      </c>
      <c r="C116">
        <f t="shared" si="57"/>
        <v>0.20875913178450195</v>
      </c>
      <c r="D116">
        <f t="shared" si="62"/>
        <v>1.9327991124588172E-2</v>
      </c>
      <c r="E116">
        <f t="shared" si="63"/>
        <v>0.27563735581699916</v>
      </c>
      <c r="H116">
        <f t="shared" si="64"/>
        <v>1.769362383628453E-2</v>
      </c>
      <c r="I116">
        <f t="shared" si="65"/>
        <v>2.2566958133566628E-2</v>
      </c>
      <c r="J116">
        <f t="shared" si="66"/>
        <v>2.0130290984925581E-2</v>
      </c>
      <c r="K116">
        <f t="shared" si="67"/>
        <v>0.27653116649982235</v>
      </c>
      <c r="L116">
        <f t="shared" si="58"/>
        <v>0.73879321780179885</v>
      </c>
      <c r="M116">
        <f t="shared" si="68"/>
        <v>0.95517287120719541</v>
      </c>
      <c r="N116">
        <f t="shared" si="59"/>
        <v>1.6540717057142957</v>
      </c>
      <c r="O116">
        <f t="shared" si="69"/>
        <v>0.60456871158929548</v>
      </c>
      <c r="BH116">
        <f t="shared" si="54"/>
        <v>300</v>
      </c>
      <c r="BI116">
        <f t="shared" si="55"/>
        <v>25.000000000000007</v>
      </c>
      <c r="BJ116">
        <f t="shared" si="56"/>
        <v>-43.301270189221931</v>
      </c>
    </row>
    <row r="117" spans="1:62" x14ac:dyDescent="0.25">
      <c r="A117">
        <f t="shared" si="60"/>
        <v>17</v>
      </c>
      <c r="B117">
        <f t="shared" si="61"/>
        <v>0.29670597283903605</v>
      </c>
      <c r="C117">
        <f t="shared" si="57"/>
        <v>0.22163851231934636</v>
      </c>
      <c r="D117">
        <f t="shared" si="62"/>
        <v>1.9346693031267379E-2</v>
      </c>
      <c r="E117">
        <f t="shared" si="63"/>
        <v>0.29237170472273677</v>
      </c>
      <c r="H117">
        <f t="shared" si="64"/>
        <v>1.738722896698737E-2</v>
      </c>
      <c r="I117">
        <f t="shared" si="65"/>
        <v>2.2913980391423467E-2</v>
      </c>
      <c r="J117">
        <f t="shared" si="66"/>
        <v>2.0150604679205417E-2</v>
      </c>
      <c r="K117">
        <f t="shared" si="67"/>
        <v>0.29314210359931336</v>
      </c>
      <c r="L117">
        <f t="shared" si="58"/>
        <v>0.73705556726771471</v>
      </c>
      <c r="M117">
        <f t="shared" si="68"/>
        <v>0.94822226907085883</v>
      </c>
      <c r="N117">
        <f t="shared" si="59"/>
        <v>1.6260957083918561</v>
      </c>
      <c r="O117">
        <f t="shared" si="69"/>
        <v>0.6149699521616474</v>
      </c>
      <c r="BH117">
        <f t="shared" si="54"/>
        <v>305</v>
      </c>
      <c r="BI117">
        <f t="shared" si="55"/>
        <v>28.678821817552304</v>
      </c>
      <c r="BJ117">
        <f t="shared" si="56"/>
        <v>-40.957602214449587</v>
      </c>
    </row>
    <row r="118" spans="1:62" x14ac:dyDescent="0.25">
      <c r="A118">
        <f t="shared" si="60"/>
        <v>18</v>
      </c>
      <c r="B118">
        <f t="shared" si="61"/>
        <v>0.31415926535897931</v>
      </c>
      <c r="C118">
        <f t="shared" si="57"/>
        <v>0.23448653708629699</v>
      </c>
      <c r="D118">
        <f t="shared" si="62"/>
        <v>1.9369318264171625E-2</v>
      </c>
      <c r="E118">
        <f t="shared" si="63"/>
        <v>0.3090169943749474</v>
      </c>
      <c r="H118">
        <f t="shared" si="64"/>
        <v>1.7062058594488273E-2</v>
      </c>
      <c r="I118">
        <f t="shared" si="65"/>
        <v>2.3288305702165172E-2</v>
      </c>
      <c r="J118">
        <f t="shared" si="66"/>
        <v>2.0175182148326722E-2</v>
      </c>
      <c r="K118">
        <f t="shared" si="67"/>
        <v>0.30962761762722935</v>
      </c>
      <c r="L118">
        <f t="shared" si="58"/>
        <v>0.7351997328921227</v>
      </c>
      <c r="M118">
        <f t="shared" si="68"/>
        <v>0.94079893156849081</v>
      </c>
      <c r="N118">
        <f t="shared" si="59"/>
        <v>1.5968949564930948</v>
      </c>
      <c r="O118">
        <f t="shared" si="69"/>
        <v>0.62621526602856681</v>
      </c>
      <c r="BH118">
        <f t="shared" si="54"/>
        <v>310</v>
      </c>
      <c r="BI118">
        <f t="shared" si="55"/>
        <v>32.139380484326963</v>
      </c>
      <c r="BJ118">
        <f t="shared" si="56"/>
        <v>-38.302222155948904</v>
      </c>
    </row>
    <row r="119" spans="1:62" x14ac:dyDescent="0.25">
      <c r="A119">
        <f t="shared" si="60"/>
        <v>19</v>
      </c>
      <c r="B119">
        <f t="shared" si="61"/>
        <v>0.33161255787892263</v>
      </c>
      <c r="C119">
        <f t="shared" si="57"/>
        <v>0.24730112311942756</v>
      </c>
      <c r="D119">
        <f t="shared" si="62"/>
        <v>1.9396445560167532E-2</v>
      </c>
      <c r="E119">
        <f t="shared" si="63"/>
        <v>0.3255681544571567</v>
      </c>
      <c r="H119">
        <f t="shared" si="64"/>
        <v>1.6718137202125932E-2</v>
      </c>
      <c r="I119">
        <f t="shared" si="65"/>
        <v>2.3691169799010179E-2</v>
      </c>
      <c r="J119">
        <f t="shared" si="66"/>
        <v>2.0204653500568055E-2</v>
      </c>
      <c r="K119">
        <f t="shared" si="67"/>
        <v>0.32597937671986499</v>
      </c>
      <c r="L119">
        <f t="shared" si="58"/>
        <v>0.73322336636822449</v>
      </c>
      <c r="M119">
        <f t="shared" si="68"/>
        <v>0.93289346547289798</v>
      </c>
      <c r="N119">
        <f t="shared" si="59"/>
        <v>1.5665401015055631</v>
      </c>
      <c r="O119">
        <f t="shared" si="69"/>
        <v>0.63834944221276213</v>
      </c>
      <c r="BH119">
        <f t="shared" si="54"/>
        <v>315</v>
      </c>
      <c r="BI119">
        <f t="shared" si="55"/>
        <v>35.35533905932737</v>
      </c>
      <c r="BJ119">
        <f t="shared" si="56"/>
        <v>-35.355339059327385</v>
      </c>
    </row>
    <row r="120" spans="1:62" x14ac:dyDescent="0.25">
      <c r="A120">
        <f t="shared" si="60"/>
        <v>20</v>
      </c>
      <c r="B120">
        <f t="shared" si="61"/>
        <v>0.3490658503988659</v>
      </c>
      <c r="C120">
        <f t="shared" si="57"/>
        <v>0.26008014511307853</v>
      </c>
      <c r="D120">
        <f t="shared" si="62"/>
        <v>1.9428713697770054E-2</v>
      </c>
      <c r="E120">
        <f t="shared" si="63"/>
        <v>0.34202014332566871</v>
      </c>
      <c r="H120">
        <f t="shared" si="64"/>
        <v>1.6355510556232935E-2</v>
      </c>
      <c r="I120">
        <f t="shared" si="65"/>
        <v>2.412391880213112E-2</v>
      </c>
      <c r="J120">
        <f t="shared" si="66"/>
        <v>2.0239714679182029E-2</v>
      </c>
      <c r="K120">
        <f t="shared" si="67"/>
        <v>0.34218887965458233</v>
      </c>
      <c r="L120">
        <f t="shared" si="58"/>
        <v>0.73112396367203636</v>
      </c>
      <c r="M120">
        <f t="shared" si="68"/>
        <v>0.92449585468814544</v>
      </c>
      <c r="N120">
        <f t="shared" si="59"/>
        <v>1.5351026999186015</v>
      </c>
      <c r="O120">
        <f t="shared" si="69"/>
        <v>0.65142221432678404</v>
      </c>
      <c r="BH120">
        <f t="shared" si="54"/>
        <v>320</v>
      </c>
      <c r="BI120">
        <f t="shared" ref="BI120:BI128" si="70">radius_rain*COS(RADIANS(BH120))</f>
        <v>38.30222215594889</v>
      </c>
      <c r="BJ120">
        <f t="shared" ref="BJ120:BJ128" si="71">radius_rain*SIN(RADIANS(BH120))</f>
        <v>-32.139380484326978</v>
      </c>
    </row>
    <row r="121" spans="1:62" x14ac:dyDescent="0.25">
      <c r="A121">
        <f t="shared" si="60"/>
        <v>21</v>
      </c>
      <c r="B121">
        <f t="shared" si="61"/>
        <v>0.36651914291880922</v>
      </c>
      <c r="C121">
        <f t="shared" si="57"/>
        <v>0.27282143267467179</v>
      </c>
      <c r="D121">
        <f t="shared" si="62"/>
        <v>1.9466826930704312E-2</v>
      </c>
      <c r="E121">
        <f t="shared" si="63"/>
        <v>0.35836794954530027</v>
      </c>
      <c r="H121">
        <f t="shared" si="64"/>
        <v>1.5974250077836361E-2</v>
      </c>
      <c r="I121">
        <f t="shared" si="65"/>
        <v>2.4588017048695513E-2</v>
      </c>
      <c r="J121">
        <f t="shared" si="66"/>
        <v>2.0281133563265937E-2</v>
      </c>
      <c r="K121">
        <f t="shared" si="67"/>
        <v>0.35824744486106874</v>
      </c>
      <c r="L121">
        <f t="shared" si="58"/>
        <v>0.72889886167232687</v>
      </c>
      <c r="M121">
        <f t="shared" si="68"/>
        <v>0.91559544668930748</v>
      </c>
      <c r="N121">
        <f t="shared" si="59"/>
        <v>1.5026548327402032</v>
      </c>
      <c r="O121">
        <f t="shared" si="69"/>
        <v>0.66548882565161382</v>
      </c>
      <c r="BH121">
        <f t="shared" si="54"/>
        <v>325</v>
      </c>
      <c r="BI121">
        <f t="shared" si="70"/>
        <v>40.957602214449579</v>
      </c>
      <c r="BJ121">
        <f t="shared" si="71"/>
        <v>-28.678821817552326</v>
      </c>
    </row>
    <row r="122" spans="1:62" x14ac:dyDescent="0.25">
      <c r="A122">
        <f t="shared" si="60"/>
        <v>22</v>
      </c>
      <c r="B122">
        <f t="shared" si="61"/>
        <v>0.38397243543875248</v>
      </c>
      <c r="C122">
        <f t="shared" si="57"/>
        <v>0.2855227675173489</v>
      </c>
      <c r="D122">
        <f t="shared" si="62"/>
        <v>1.9511560993563347E-2</v>
      </c>
      <c r="E122">
        <f t="shared" si="63"/>
        <v>0.37460659341591201</v>
      </c>
      <c r="H122">
        <f t="shared" si="64"/>
        <v>1.5574457781820738E-2</v>
      </c>
      <c r="I122">
        <f t="shared" si="65"/>
        <v>2.5085055705706995E-2</v>
      </c>
      <c r="J122">
        <f t="shared" si="66"/>
        <v>2.0329756743763867E-2</v>
      </c>
      <c r="K122">
        <f t="shared" si="67"/>
        <v>0.37414619919189063</v>
      </c>
      <c r="L122">
        <f t="shared" si="58"/>
        <v>0.72654523462772835</v>
      </c>
      <c r="M122">
        <f t="shared" si="68"/>
        <v>0.90618093851091341</v>
      </c>
      <c r="N122">
        <f t="shared" si="59"/>
        <v>1.4692687338173596</v>
      </c>
      <c r="O122">
        <f t="shared" si="69"/>
        <v>0.68061068542707248</v>
      </c>
      <c r="BH122">
        <f t="shared" ref="BH122:BH128" si="72">BH121+5</f>
        <v>330</v>
      </c>
      <c r="BI122">
        <f t="shared" si="70"/>
        <v>43.301270189221917</v>
      </c>
      <c r="BJ122">
        <f t="shared" si="71"/>
        <v>-25.000000000000021</v>
      </c>
    </row>
    <row r="123" spans="1:62" x14ac:dyDescent="0.25">
      <c r="A123">
        <f t="shared" si="60"/>
        <v>23</v>
      </c>
      <c r="B123">
        <f t="shared" si="61"/>
        <v>0.4014257279586958</v>
      </c>
      <c r="C123">
        <f t="shared" si="57"/>
        <v>0.29818188059061435</v>
      </c>
      <c r="D123">
        <f t="shared" si="62"/>
        <v>1.9563769732733705E-2</v>
      </c>
      <c r="E123">
        <f t="shared" si="63"/>
        <v>0.39073112848927377</v>
      </c>
      <c r="H123">
        <f t="shared" si="64"/>
        <v>1.5156271854359606E-2</v>
      </c>
      <c r="I123">
        <f t="shared" si="65"/>
        <v>2.5616762236211042E-2</v>
      </c>
      <c r="J123">
        <f t="shared" si="66"/>
        <v>2.0386517045285324E-2</v>
      </c>
      <c r="K123">
        <f t="shared" si="67"/>
        <v>0.38987606644506578</v>
      </c>
      <c r="L123">
        <f t="shared" si="58"/>
        <v>0.72406009058882759</v>
      </c>
      <c r="M123">
        <f t="shared" si="68"/>
        <v>0.89624036235531035</v>
      </c>
      <c r="N123">
        <f t="shared" si="59"/>
        <v>1.4350164289383758</v>
      </c>
      <c r="O123">
        <f t="shared" si="69"/>
        <v>0.69685613337528085</v>
      </c>
      <c r="BH123">
        <f t="shared" si="72"/>
        <v>335</v>
      </c>
      <c r="BI123">
        <f t="shared" si="70"/>
        <v>45.315389351832501</v>
      </c>
      <c r="BJ123">
        <f t="shared" si="71"/>
        <v>-21.130913087034962</v>
      </c>
    </row>
    <row r="124" spans="1:62" x14ac:dyDescent="0.25">
      <c r="A124">
        <f t="shared" si="60"/>
        <v>24</v>
      </c>
      <c r="B124">
        <f t="shared" si="61"/>
        <v>0.41887902047863912</v>
      </c>
      <c r="C124">
        <f t="shared" si="57"/>
        <v>0.31079644914750387</v>
      </c>
      <c r="D124">
        <f t="shared" si="62"/>
        <v>1.9624392420827089E-2</v>
      </c>
      <c r="E124">
        <f t="shared" si="63"/>
        <v>0.40673664307580021</v>
      </c>
      <c r="H124">
        <f t="shared" si="64"/>
        <v>1.4719872948717943E-2</v>
      </c>
      <c r="I124">
        <f t="shared" si="65"/>
        <v>2.6185010797023144E-2</v>
      </c>
      <c r="J124">
        <f t="shared" si="66"/>
        <v>2.0452441872870541E-2</v>
      </c>
      <c r="K124">
        <f t="shared" si="67"/>
        <v>0.40542775563273725</v>
      </c>
      <c r="L124">
        <f t="shared" si="58"/>
        <v>0.72144026772589309</v>
      </c>
      <c r="M124">
        <f t="shared" si="68"/>
        <v>0.88576107090357237</v>
      </c>
      <c r="N124">
        <f t="shared" si="59"/>
        <v>1.3999693873454404</v>
      </c>
      <c r="O124">
        <f t="shared" si="69"/>
        <v>0.71430133332854906</v>
      </c>
      <c r="BH124">
        <f t="shared" si="72"/>
        <v>340</v>
      </c>
      <c r="BI124">
        <f t="shared" si="70"/>
        <v>46.984631039295422</v>
      </c>
      <c r="BJ124">
        <f t="shared" si="71"/>
        <v>-17.101007166283431</v>
      </c>
    </row>
    <row r="125" spans="1:62" x14ac:dyDescent="0.25">
      <c r="A125">
        <f t="shared" si="60"/>
        <v>25</v>
      </c>
      <c r="B125">
        <f t="shared" si="61"/>
        <v>0.43633231299858238</v>
      </c>
      <c r="C125">
        <f t="shared" si="57"/>
        <v>0.32336409374718039</v>
      </c>
      <c r="D125">
        <f t="shared" si="62"/>
        <v>1.9694461818230206E-2</v>
      </c>
      <c r="E125">
        <f t="shared" si="63"/>
        <v>0.42261826174069944</v>
      </c>
      <c r="H125">
        <f t="shared" si="64"/>
        <v>1.4265491290043415E-2</v>
      </c>
      <c r="I125">
        <f t="shared" si="65"/>
        <v>2.6791833654498703E-2</v>
      </c>
      <c r="J125">
        <f t="shared" si="66"/>
        <v>2.0528662472271059E-2</v>
      </c>
      <c r="K125">
        <f t="shared" si="67"/>
        <v>0.4207917489915568</v>
      </c>
      <c r="L125">
        <f t="shared" si="58"/>
        <v>0.71868243060608961</v>
      </c>
      <c r="M125">
        <f t="shared" si="68"/>
        <v>0.87472972242435842</v>
      </c>
      <c r="N125">
        <f t="shared" si="59"/>
        <v>1.3641981869234476</v>
      </c>
      <c r="O125">
        <f t="shared" si="69"/>
        <v>0.73303132168443152</v>
      </c>
      <c r="BH125">
        <f t="shared" si="72"/>
        <v>345</v>
      </c>
      <c r="BI125">
        <f t="shared" si="70"/>
        <v>48.296291314453413</v>
      </c>
      <c r="BJ125">
        <f t="shared" si="71"/>
        <v>-12.940952255126033</v>
      </c>
    </row>
    <row r="126" spans="1:62" x14ac:dyDescent="0.25">
      <c r="A126">
        <f t="shared" si="60"/>
        <v>26</v>
      </c>
      <c r="B126">
        <f t="shared" si="61"/>
        <v>0.4537856055185257</v>
      </c>
      <c r="C126">
        <f t="shared" si="57"/>
        <v>0.33588237519231096</v>
      </c>
      <c r="D126">
        <f t="shared" si="62"/>
        <v>1.9775113051034309E-2</v>
      </c>
      <c r="E126">
        <f t="shared" si="63"/>
        <v>0.4383711467890774</v>
      </c>
      <c r="H126">
        <f t="shared" si="64"/>
        <v>1.3793414691658587E-2</v>
      </c>
      <c r="I126">
        <f t="shared" si="65"/>
        <v>2.743943371406015E-2</v>
      </c>
      <c r="J126">
        <f t="shared" si="66"/>
        <v>2.0616424202859369E-2</v>
      </c>
      <c r="K126">
        <f t="shared" si="67"/>
        <v>0.43595828973219242</v>
      </c>
      <c r="L126">
        <f t="shared" si="58"/>
        <v>0.71578306644763801</v>
      </c>
      <c r="M126">
        <f t="shared" si="68"/>
        <v>0.86313226579055202</v>
      </c>
      <c r="N126">
        <f t="shared" si="59"/>
        <v>1.3277721939623652</v>
      </c>
      <c r="O126">
        <f t="shared" si="69"/>
        <v>0.75314124256193327</v>
      </c>
      <c r="BH126">
        <f t="shared" si="72"/>
        <v>350</v>
      </c>
      <c r="BI126">
        <f t="shared" si="70"/>
        <v>49.240387650610401</v>
      </c>
      <c r="BJ126">
        <f t="shared" si="71"/>
        <v>-8.6824088833465201</v>
      </c>
    </row>
    <row r="127" spans="1:62" x14ac:dyDescent="0.25">
      <c r="A127">
        <f t="shared" si="60"/>
        <v>27</v>
      </c>
      <c r="B127">
        <f t="shared" si="61"/>
        <v>0.47123889803846897</v>
      </c>
      <c r="C127">
        <f t="shared" si="57"/>
        <v>0.34834879140109237</v>
      </c>
      <c r="D127">
        <f t="shared" si="62"/>
        <v>1.986759338050121E-2</v>
      </c>
      <c r="E127">
        <f t="shared" si="63"/>
        <v>0.45399049973954675</v>
      </c>
      <c r="H127">
        <f t="shared" si="64"/>
        <v>1.3303997598838282E-2</v>
      </c>
      <c r="I127">
        <f t="shared" si="65"/>
        <v>2.8130198269324204E-2</v>
      </c>
      <c r="J127">
        <f t="shared" si="66"/>
        <v>2.0717097934081243E-2</v>
      </c>
      <c r="K127">
        <f t="shared" si="67"/>
        <v>0.45091736952743156</v>
      </c>
      <c r="L127">
        <f t="shared" si="58"/>
        <v>0.71273848138240581</v>
      </c>
      <c r="M127">
        <f t="shared" si="68"/>
        <v>0.85095392552962323</v>
      </c>
      <c r="N127">
        <f t="shared" si="59"/>
        <v>1.2907592580191813</v>
      </c>
      <c r="O127">
        <f t="shared" si="69"/>
        <v>0.77473780938407921</v>
      </c>
      <c r="BH127">
        <f t="shared" si="72"/>
        <v>355</v>
      </c>
      <c r="BI127">
        <f t="shared" si="70"/>
        <v>49.80973490458728</v>
      </c>
      <c r="BJ127">
        <f t="shared" si="71"/>
        <v>-4.3577871373829158</v>
      </c>
    </row>
    <row r="128" spans="1:62" x14ac:dyDescent="0.25">
      <c r="A128">
        <f t="shared" si="60"/>
        <v>28</v>
      </c>
      <c r="B128">
        <f t="shared" si="61"/>
        <v>0.48869219055841229</v>
      </c>
      <c r="C128">
        <f t="shared" si="57"/>
        <v>0.36076077421437669</v>
      </c>
      <c r="D128">
        <f t="shared" si="62"/>
        <v>1.9973272945305105E-2</v>
      </c>
      <c r="E128">
        <f t="shared" si="63"/>
        <v>0.46947156278589081</v>
      </c>
      <c r="H128">
        <f t="shared" si="64"/>
        <v>1.2797671291326085E-2</v>
      </c>
      <c r="I128">
        <f t="shared" si="65"/>
        <v>2.8866714087830033E-2</v>
      </c>
      <c r="J128">
        <f t="shared" si="66"/>
        <v>2.0832192689578061E-2</v>
      </c>
      <c r="K128">
        <f t="shared" si="67"/>
        <v>0.46565871574068218</v>
      </c>
      <c r="L128">
        <f t="shared" si="58"/>
        <v>0.70954479676292104</v>
      </c>
      <c r="M128">
        <f t="shared" si="68"/>
        <v>0.83817918705168415</v>
      </c>
      <c r="N128">
        <f t="shared" si="59"/>
        <v>1.2532254220353705</v>
      </c>
      <c r="O128">
        <f t="shared" si="69"/>
        <v>0.79794104270235311</v>
      </c>
      <c r="BH128">
        <f t="shared" si="72"/>
        <v>360</v>
      </c>
      <c r="BI128">
        <f t="shared" si="70"/>
        <v>50</v>
      </c>
      <c r="BJ128">
        <f t="shared" si="71"/>
        <v>-1.22514845490862E-14</v>
      </c>
    </row>
    <row r="129" spans="1:15" x14ac:dyDescent="0.25">
      <c r="A129">
        <f t="shared" si="60"/>
        <v>29</v>
      </c>
      <c r="B129">
        <f t="shared" si="61"/>
        <v>0.50614548307835561</v>
      </c>
      <c r="C129">
        <f t="shared" si="57"/>
        <v>0.37311568613902568</v>
      </c>
      <c r="D129">
        <f t="shared" si="62"/>
        <v>2.0093656563963416E-2</v>
      </c>
      <c r="E129">
        <f t="shared" si="63"/>
        <v>0.48480962024633706</v>
      </c>
      <c r="H129">
        <f t="shared" si="64"/>
        <v>1.2274955393155254E-2</v>
      </c>
      <c r="I129">
        <f t="shared" si="65"/>
        <v>2.9651783962647203E-2</v>
      </c>
      <c r="J129">
        <f t="shared" si="66"/>
        <v>2.0963369677901227E-2</v>
      </c>
      <c r="K129">
        <f t="shared" si="67"/>
        <v>0.48017177839939151</v>
      </c>
      <c r="L129">
        <f t="shared" si="58"/>
        <v>0.70619794555480164</v>
      </c>
      <c r="M129">
        <f t="shared" si="68"/>
        <v>0.82479178221920657</v>
      </c>
      <c r="N129">
        <f t="shared" si="59"/>
        <v>1.2152346474989717</v>
      </c>
      <c r="O129">
        <f t="shared" si="69"/>
        <v>0.82288634714132125</v>
      </c>
    </row>
    <row r="130" spans="1:15" x14ac:dyDescent="0.25">
      <c r="A130">
        <f t="shared" si="60"/>
        <v>30</v>
      </c>
      <c r="B130">
        <f t="shared" si="61"/>
        <v>0.52359877559829882</v>
      </c>
      <c r="C130">
        <f t="shared" si="57"/>
        <v>0.38541081702937968</v>
      </c>
      <c r="D130">
        <f t="shared" si="62"/>
        <v>2.0230396691025585E-2</v>
      </c>
      <c r="E130">
        <f t="shared" si="63"/>
        <v>0.49999999999999994</v>
      </c>
      <c r="H130">
        <f t="shared" si="64"/>
        <v>1.1736470857988865E-2</v>
      </c>
      <c r="I130">
        <f t="shared" si="65"/>
        <v>3.0488444872674613E-2</v>
      </c>
      <c r="J130">
        <f t="shared" si="66"/>
        <v>2.1112457865331738E-2</v>
      </c>
      <c r="K130">
        <f t="shared" si="67"/>
        <v>0.4944457169209211</v>
      </c>
      <c r="L130">
        <f t="shared" si="58"/>
        <v>0.70269366886115803</v>
      </c>
      <c r="M130">
        <f t="shared" si="68"/>
        <v>0.81077467544463211</v>
      </c>
      <c r="N130">
        <f t="shared" si="59"/>
        <v>1.176848554078451</v>
      </c>
      <c r="O130">
        <f t="shared" si="69"/>
        <v>0.84972700738292117</v>
      </c>
    </row>
    <row r="131" spans="1:15" x14ac:dyDescent="0.25">
      <c r="A131">
        <f t="shared" si="60"/>
        <v>31</v>
      </c>
      <c r="B131">
        <f t="shared" si="61"/>
        <v>0.54105206811824214</v>
      </c>
      <c r="C131">
        <f t="shared" si="57"/>
        <v>0.39764338070959671</v>
      </c>
      <c r="D131">
        <f t="shared" si="62"/>
        <v>2.0385307626542164E-2</v>
      </c>
      <c r="E131">
        <f t="shared" si="63"/>
        <v>0.51503807491005416</v>
      </c>
      <c r="H131">
        <f t="shared" si="64"/>
        <v>1.1182954620499362E-2</v>
      </c>
      <c r="I131">
        <f t="shared" si="65"/>
        <v>3.1379987909330706E-2</v>
      </c>
      <c r="J131">
        <f t="shared" si="66"/>
        <v>2.1281471264915034E-2</v>
      </c>
      <c r="K131">
        <f t="shared" si="67"/>
        <v>0.50846938660190255</v>
      </c>
      <c r="L131">
        <f t="shared" si="58"/>
        <v>0.6990275126316553</v>
      </c>
      <c r="M131">
        <f t="shared" si="68"/>
        <v>0.7961100505266212</v>
      </c>
      <c r="N131">
        <f t="shared" si="59"/>
        <v>1.1381261727981404</v>
      </c>
      <c r="O131">
        <f t="shared" si="69"/>
        <v>0.87863720552304825</v>
      </c>
    </row>
    <row r="132" spans="1:15" x14ac:dyDescent="0.25">
      <c r="A132">
        <f t="shared" si="60"/>
        <v>32</v>
      </c>
      <c r="B132">
        <f t="shared" si="61"/>
        <v>0.55850536063818546</v>
      </c>
      <c r="C132">
        <f t="shared" si="57"/>
        <v>0.40981051154059139</v>
      </c>
      <c r="D132">
        <f t="shared" si="62"/>
        <v>2.0560381083868241E-2</v>
      </c>
      <c r="E132">
        <f t="shared" si="63"/>
        <v>0.5299192642332049</v>
      </c>
      <c r="H132">
        <f t="shared" si="64"/>
        <v>1.0615276129650266E-2</v>
      </c>
      <c r="I132">
        <f t="shared" si="65"/>
        <v>3.2329980143726934E-2</v>
      </c>
      <c r="J132">
        <f t="shared" si="66"/>
        <v>2.1472628136688598E-2</v>
      </c>
      <c r="K132">
        <f t="shared" si="67"/>
        <v>0.52223132488599466</v>
      </c>
      <c r="L132">
        <f t="shared" si="58"/>
        <v>0.69519482461568782</v>
      </c>
      <c r="M132">
        <f t="shared" si="68"/>
        <v>0.78077929846275129</v>
      </c>
      <c r="N132">
        <f t="shared" si="59"/>
        <v>1.0991237114714696</v>
      </c>
      <c r="O132">
        <f t="shared" si="69"/>
        <v>0.90981569186714562</v>
      </c>
    </row>
    <row r="133" spans="1:15" x14ac:dyDescent="0.25">
      <c r="A133">
        <f t="shared" si="60"/>
        <v>33</v>
      </c>
      <c r="B133">
        <f t="shared" si="61"/>
        <v>0.57595865315812877</v>
      </c>
      <c r="C133">
        <f t="shared" ref="C133:C164" si="73">ASIN(SIN(B133)/Index_of_ref)</f>
        <v>0.42190926093640951</v>
      </c>
      <c r="D133">
        <f t="shared" si="62"/>
        <v>2.0757803225653248E-2</v>
      </c>
      <c r="E133">
        <f t="shared" si="63"/>
        <v>0.54463903501502708</v>
      </c>
      <c r="H133">
        <f t="shared" si="64"/>
        <v>1.0034456008546412E-2</v>
      </c>
      <c r="I133">
        <f t="shared" si="65"/>
        <v>3.3342288626445594E-2</v>
      </c>
      <c r="J133">
        <f t="shared" si="66"/>
        <v>2.1688372317496003E-2</v>
      </c>
      <c r="K133">
        <f t="shared" si="67"/>
        <v>0.5357197374293805</v>
      </c>
      <c r="L133">
        <f t="shared" ref="L133:L164" si="74">1/SQRT(1-(SIN(B133)/Index_of_ref)^2)*COS(B133)/Index_of_ref</f>
        <v>0.69119075162652666</v>
      </c>
      <c r="M133">
        <f t="shared" si="68"/>
        <v>0.76476300650610662</v>
      </c>
      <c r="N133">
        <f t="shared" si="59"/>
        <v>1.0598943307554942</v>
      </c>
      <c r="O133">
        <f t="shared" si="69"/>
        <v>0.94349028104263799</v>
      </c>
    </row>
    <row r="134" spans="1:15" x14ac:dyDescent="0.25">
      <c r="A134">
        <f t="shared" si="60"/>
        <v>34</v>
      </c>
      <c r="B134">
        <f t="shared" si="61"/>
        <v>0.59341194567807209</v>
      </c>
      <c r="C134">
        <f t="shared" si="73"/>
        <v>0.43393659383610289</v>
      </c>
      <c r="D134">
        <f t="shared" si="62"/>
        <v>2.0979973281535034E-2</v>
      </c>
      <c r="E134">
        <f t="shared" si="63"/>
        <v>0.5591929034707469</v>
      </c>
      <c r="H134">
        <f t="shared" si="64"/>
        <v>9.4416871182778726E-3</v>
      </c>
      <c r="I134">
        <f t="shared" si="65"/>
        <v>3.4421106731865284E-2</v>
      </c>
      <c r="J134">
        <f t="shared" si="66"/>
        <v>2.1931396925071577E-2</v>
      </c>
      <c r="K134">
        <f t="shared" si="67"/>
        <v>0.54892248398826737</v>
      </c>
      <c r="L134">
        <f t="shared" si="74"/>
        <v>0.68701023719140242</v>
      </c>
      <c r="M134">
        <f t="shared" si="68"/>
        <v>0.74804094876560967</v>
      </c>
      <c r="N134">
        <f t="shared" si="59"/>
        <v>1.0204879288346282</v>
      </c>
      <c r="O134">
        <f t="shared" si="69"/>
        <v>0.97992339913513238</v>
      </c>
    </row>
    <row r="135" spans="1:15" x14ac:dyDescent="0.25">
      <c r="A135">
        <f t="shared" si="60"/>
        <v>35</v>
      </c>
      <c r="B135">
        <f t="shared" si="61"/>
        <v>0.6108652381980153</v>
      </c>
      <c r="C135">
        <f t="shared" si="73"/>
        <v>0.44588938513856358</v>
      </c>
      <c r="D135">
        <f t="shared" si="62"/>
        <v>2.1229523863059093E-2</v>
      </c>
      <c r="E135">
        <f t="shared" si="63"/>
        <v>0.57357643635104605</v>
      </c>
      <c r="H135">
        <f t="shared" si="64"/>
        <v>8.8383583404528909E-3</v>
      </c>
      <c r="I135">
        <f t="shared" si="65"/>
        <v>3.5570983080745779E-2</v>
      </c>
      <c r="J135">
        <f t="shared" si="66"/>
        <v>2.2204670710599336E-2</v>
      </c>
      <c r="K135">
        <f t="shared" si="67"/>
        <v>0.5618270641582237</v>
      </c>
      <c r="L135">
        <f t="shared" si="74"/>
        <v>0.68264801967129651</v>
      </c>
      <c r="M135">
        <f t="shared" si="68"/>
        <v>0.73059207868518605</v>
      </c>
      <c r="N135">
        <f t="shared" si="59"/>
        <v>0.98095093237720921</v>
      </c>
      <c r="O135">
        <f t="shared" si="69"/>
        <v>1.0194189811070651</v>
      </c>
    </row>
    <row r="136" spans="1:15" x14ac:dyDescent="0.25">
      <c r="A136">
        <f t="shared" si="60"/>
        <v>36</v>
      </c>
      <c r="B136">
        <f t="shared" si="61"/>
        <v>0.62831853071795862</v>
      </c>
      <c r="C136">
        <f t="shared" si="73"/>
        <v>0.45776441610931079</v>
      </c>
      <c r="D136">
        <f t="shared" si="62"/>
        <v>2.1509343091015525E-2</v>
      </c>
      <c r="E136">
        <f t="shared" si="63"/>
        <v>0.58778525229247314</v>
      </c>
      <c r="H136">
        <f t="shared" si="64"/>
        <v>8.2260814355472056E-3</v>
      </c>
      <c r="I136">
        <f t="shared" si="65"/>
        <v>3.6796853298683437E-2</v>
      </c>
      <c r="J136">
        <f t="shared" si="66"/>
        <v>2.2511467367115321E-2</v>
      </c>
      <c r="K136">
        <f t="shared" si="67"/>
        <v>0.57442060300132591</v>
      </c>
      <c r="L136">
        <f t="shared" si="74"/>
        <v>0.67809863094374112</v>
      </c>
      <c r="M136">
        <f t="shared" si="68"/>
        <v>0.71239452377496448</v>
      </c>
      <c r="N136">
        <f t="shared" si="59"/>
        <v>0.94132609102801545</v>
      </c>
      <c r="O136">
        <f t="shared" si="69"/>
        <v>1.0623311193976439</v>
      </c>
    </row>
    <row r="137" spans="1:15" x14ac:dyDescent="0.25">
      <c r="A137">
        <f t="shared" si="60"/>
        <v>37</v>
      </c>
      <c r="B137">
        <f t="shared" si="61"/>
        <v>0.64577182323790194</v>
      </c>
      <c r="C137">
        <f t="shared" si="73"/>
        <v>0.469558370769947</v>
      </c>
      <c r="D137">
        <f t="shared" si="62"/>
        <v>2.1822598646843407E-2</v>
      </c>
      <c r="E137">
        <f t="shared" si="63"/>
        <v>0.60181502315204827</v>
      </c>
      <c r="H137">
        <f t="shared" si="64"/>
        <v>7.6067213825209848E-3</v>
      </c>
      <c r="I137">
        <f t="shared" si="65"/>
        <v>3.810407489423883E-2</v>
      </c>
      <c r="J137">
        <f t="shared" si="66"/>
        <v>2.2855398138379907E-2</v>
      </c>
      <c r="K137">
        <f t="shared" si="67"/>
        <v>0.58668983660398411</v>
      </c>
      <c r="L137">
        <f t="shared" si="74"/>
        <v>0.67335639575220529</v>
      </c>
      <c r="M137">
        <f t="shared" si="68"/>
        <v>0.69342558300882118</v>
      </c>
      <c r="N137">
        <f t="shared" si="59"/>
        <v>0.90165227229386158</v>
      </c>
      <c r="O137">
        <f t="shared" si="69"/>
        <v>1.1090750067716633</v>
      </c>
    </row>
    <row r="138" spans="1:15" x14ac:dyDescent="0.25">
      <c r="A138">
        <f t="shared" si="60"/>
        <v>38</v>
      </c>
      <c r="B138">
        <f t="shared" si="61"/>
        <v>0.66322511575784526</v>
      </c>
      <c r="C138">
        <f t="shared" si="73"/>
        <v>0.48126783228290188</v>
      </c>
      <c r="D138">
        <f t="shared" si="62"/>
        <v>2.2172763851890199E-2</v>
      </c>
      <c r="E138">
        <f t="shared" si="63"/>
        <v>0.61566147532565829</v>
      </c>
      <c r="H138">
        <f t="shared" si="64"/>
        <v>6.9824306602223676E-3</v>
      </c>
      <c r="I138">
        <f t="shared" si="65"/>
        <v>3.9498465569220119E-2</v>
      </c>
      <c r="J138">
        <f t="shared" si="66"/>
        <v>2.3240448114721243E-2</v>
      </c>
      <c r="K138">
        <f t="shared" si="67"/>
        <v>0.59862109761591697</v>
      </c>
      <c r="L138">
        <f t="shared" si="74"/>
        <v>0.66841543183663543</v>
      </c>
      <c r="M138">
        <f t="shared" si="68"/>
        <v>0.67366172734654173</v>
      </c>
      <c r="N138">
        <f t="shared" si="59"/>
        <v>0.86196425323561232</v>
      </c>
      <c r="O138">
        <f t="shared" si="69"/>
        <v>1.1601409179629361</v>
      </c>
    </row>
    <row r="139" spans="1:15" x14ac:dyDescent="0.25">
      <c r="A139">
        <f t="shared" si="60"/>
        <v>39</v>
      </c>
      <c r="B139">
        <f t="shared" si="61"/>
        <v>0.68067840827778847</v>
      </c>
      <c r="C139">
        <f t="shared" si="73"/>
        <v>0.49288927934617865</v>
      </c>
      <c r="D139">
        <f t="shared" si="62"/>
        <v>2.2563645864713048E-2</v>
      </c>
      <c r="E139">
        <f t="shared" si="63"/>
        <v>0.62932039104983739</v>
      </c>
      <c r="H139">
        <f t="shared" si="64"/>
        <v>6.3556879938758233E-3</v>
      </c>
      <c r="I139">
        <f t="shared" si="65"/>
        <v>4.0986345304963596E-2</v>
      </c>
      <c r="J139">
        <f t="shared" si="66"/>
        <v>2.3671016649419709E-2</v>
      </c>
      <c r="K139">
        <f t="shared" si="67"/>
        <v>0.61020030082913768</v>
      </c>
      <c r="L139">
        <f t="shared" si="74"/>
        <v>0.66326965097140911</v>
      </c>
      <c r="M139">
        <f t="shared" si="68"/>
        <v>0.65307860388563643</v>
      </c>
      <c r="N139">
        <f t="shared" si="59"/>
        <v>0.82229250488369598</v>
      </c>
      <c r="O139">
        <f t="shared" si="69"/>
        <v>1.2161122642622637</v>
      </c>
    </row>
    <row r="140" spans="1:15" x14ac:dyDescent="0.25">
      <c r="A140">
        <f t="shared" si="60"/>
        <v>40</v>
      </c>
      <c r="B140">
        <f t="shared" si="61"/>
        <v>0.69813170079773179</v>
      </c>
      <c r="C140">
        <f t="shared" si="73"/>
        <v>0.50441908261513635</v>
      </c>
      <c r="D140">
        <f t="shared" si="62"/>
        <v>2.2999416065473066E-2</v>
      </c>
      <c r="E140">
        <f t="shared" si="63"/>
        <v>0.64278760968653925</v>
      </c>
      <c r="H140">
        <f t="shared" si="64"/>
        <v>5.7293421615596312E-3</v>
      </c>
      <c r="I140">
        <f t="shared" si="65"/>
        <v>4.2574582602674889E-2</v>
      </c>
      <c r="J140">
        <f t="shared" si="66"/>
        <v>2.415196238211726E-2</v>
      </c>
      <c r="K140">
        <f t="shared" si="67"/>
        <v>0.62141292886508182</v>
      </c>
      <c r="L140">
        <f t="shared" si="74"/>
        <v>0.65791276104932039</v>
      </c>
      <c r="M140">
        <f t="shared" si="68"/>
        <v>0.63165104419728157</v>
      </c>
      <c r="N140">
        <f t="shared" si="59"/>
        <v>0.78266296472711316</v>
      </c>
      <c r="O140">
        <f t="shared" si="69"/>
        <v>1.277689177931991</v>
      </c>
    </row>
    <row r="141" spans="1:15" x14ac:dyDescent="0.25">
      <c r="A141">
        <f t="shared" si="60"/>
        <v>41</v>
      </c>
      <c r="B141">
        <f t="shared" si="61"/>
        <v>0.71558499331767511</v>
      </c>
      <c r="C141">
        <f t="shared" si="73"/>
        <v>0.51585350117086259</v>
      </c>
      <c r="D141">
        <f t="shared" si="62"/>
        <v>2.3484642665548037E-2</v>
      </c>
      <c r="E141">
        <f t="shared" si="63"/>
        <v>0.65605902899050728</v>
      </c>
      <c r="H141">
        <f t="shared" si="64"/>
        <v>5.1066615372920964E-3</v>
      </c>
      <c r="I141">
        <f t="shared" si="65"/>
        <v>4.427064529318539E-2</v>
      </c>
      <c r="J141">
        <f t="shared" si="66"/>
        <v>2.4688653415238744E-2</v>
      </c>
      <c r="K141">
        <f t="shared" si="67"/>
        <v>0.63224401804810015</v>
      </c>
      <c r="L141">
        <f t="shared" si="74"/>
        <v>0.65233826936314843</v>
      </c>
      <c r="M141">
        <f t="shared" si="68"/>
        <v>0.60935307745259371</v>
      </c>
      <c r="N141">
        <f t="shared" si="59"/>
        <v>0.74309679196505685</v>
      </c>
      <c r="O141">
        <f t="shared" si="69"/>
        <v>1.3457197108274204</v>
      </c>
    </row>
    <row r="142" spans="1:15" x14ac:dyDescent="0.25">
      <c r="A142">
        <f t="shared" si="60"/>
        <v>42</v>
      </c>
      <c r="B142">
        <f t="shared" si="61"/>
        <v>0.73303828583761843</v>
      </c>
      <c r="C142">
        <f t="shared" si="73"/>
        <v>0.52718867905746314</v>
      </c>
      <c r="D142">
        <f t="shared" si="62"/>
        <v>2.4024325536921499E-2</v>
      </c>
      <c r="E142">
        <f t="shared" si="63"/>
        <v>0.66913060635885824</v>
      </c>
      <c r="H142">
        <f t="shared" si="64"/>
        <v>4.4913901406408016E-3</v>
      </c>
      <c r="I142">
        <f t="shared" si="65"/>
        <v>4.6082656372011102E-2</v>
      </c>
      <c r="J142">
        <f t="shared" si="66"/>
        <v>2.5287023256325952E-2</v>
      </c>
      <c r="K142">
        <f t="shared" si="67"/>
        <v>0.64267814455461569</v>
      </c>
      <c r="L142">
        <f t="shared" si="74"/>
        <v>0.64653948724977417</v>
      </c>
      <c r="M142">
        <f t="shared" si="68"/>
        <v>0.58615794899909668</v>
      </c>
      <c r="N142">
        <f t="shared" si="59"/>
        <v>0.70361009942733344</v>
      </c>
      <c r="O142">
        <f t="shared" si="69"/>
        <v>1.4212416803196792</v>
      </c>
    </row>
    <row r="143" spans="1:15" x14ac:dyDescent="0.25">
      <c r="A143">
        <f t="shared" si="60"/>
        <v>43</v>
      </c>
      <c r="B143">
        <f t="shared" si="61"/>
        <v>0.75049157835756175</v>
      </c>
      <c r="C143">
        <f t="shared" si="73"/>
        <v>0.53842064191358541</v>
      </c>
      <c r="D143">
        <f t="shared" si="62"/>
        <v>2.4623933196141316E-2</v>
      </c>
      <c r="E143">
        <f t="shared" si="63"/>
        <v>0.68199836006249848</v>
      </c>
      <c r="H143">
        <f t="shared" si="64"/>
        <v>3.8878110693403747E-3</v>
      </c>
      <c r="I143">
        <f t="shared" si="65"/>
        <v>4.8019455359563978E-2</v>
      </c>
      <c r="J143">
        <f t="shared" si="66"/>
        <v>2.5953633214452175E-2</v>
      </c>
      <c r="K143">
        <f t="shared" si="67"/>
        <v>0.65269941093921813</v>
      </c>
      <c r="L143">
        <f t="shared" si="74"/>
        <v>0.6405095362755765</v>
      </c>
      <c r="M143">
        <f t="shared" si="68"/>
        <v>0.56203814510230599</v>
      </c>
      <c r="N143">
        <f t="shared" si="59"/>
        <v>0.66421365512946728</v>
      </c>
      <c r="O143">
        <f t="shared" si="69"/>
        <v>1.5055396592307062</v>
      </c>
    </row>
    <row r="144" spans="1:15" x14ac:dyDescent="0.25">
      <c r="A144">
        <f t="shared" si="60"/>
        <v>44</v>
      </c>
      <c r="B144">
        <f t="shared" si="61"/>
        <v>0.76794487087750496</v>
      </c>
      <c r="C144">
        <f t="shared" si="73"/>
        <v>0.54954529372673977</v>
      </c>
      <c r="D144">
        <f t="shared" si="62"/>
        <v>2.5289441797223484E-2</v>
      </c>
      <c r="E144">
        <f t="shared" si="63"/>
        <v>0.69465837045899725</v>
      </c>
      <c r="H144">
        <f t="shared" si="64"/>
        <v>3.3008183131999166E-3</v>
      </c>
      <c r="I144">
        <f t="shared" si="65"/>
        <v>5.0090665733908302E-2</v>
      </c>
      <c r="J144">
        <f t="shared" si="66"/>
        <v>2.6695742023554108E-2</v>
      </c>
      <c r="K144">
        <f t="shared" si="67"/>
        <v>0.66229143315194916</v>
      </c>
      <c r="L144">
        <f t="shared" si="74"/>
        <v>0.63424135615574972</v>
      </c>
      <c r="M144">
        <f t="shared" si="68"/>
        <v>0.5369654246229989</v>
      </c>
      <c r="N144">
        <f t="shared" si="59"/>
        <v>0.62491254528602713</v>
      </c>
      <c r="O144">
        <f t="shared" si="69"/>
        <v>1.6002239153997022</v>
      </c>
    </row>
    <row r="145" spans="1:15" x14ac:dyDescent="0.25">
      <c r="A145">
        <f t="shared" si="60"/>
        <v>45</v>
      </c>
      <c r="B145">
        <f t="shared" si="61"/>
        <v>0.78539816339744828</v>
      </c>
      <c r="C145">
        <f t="shared" si="73"/>
        <v>0.56055841374246052</v>
      </c>
      <c r="D145">
        <f t="shared" si="62"/>
        <v>2.6027375881272147E-2</v>
      </c>
      <c r="E145">
        <f t="shared" si="63"/>
        <v>0.70710678118654746</v>
      </c>
      <c r="H145">
        <f t="shared" si="64"/>
        <v>2.7359980868513637E-3</v>
      </c>
      <c r="I145">
        <f t="shared" si="65"/>
        <v>5.2306769034718315E-2</v>
      </c>
      <c r="J145">
        <f t="shared" si="66"/>
        <v>2.7521383560784839E-2</v>
      </c>
      <c r="K145">
        <f t="shared" si="67"/>
        <v>0.6714373281749455</v>
      </c>
      <c r="L145">
        <f t="shared" si="74"/>
        <v>0.62772771461401844</v>
      </c>
      <c r="M145">
        <f t="shared" si="68"/>
        <v>0.51091085845607376</v>
      </c>
      <c r="N145">
        <f t="shared" si="59"/>
        <v>0.58570578920507055</v>
      </c>
      <c r="O145">
        <f t="shared" si="69"/>
        <v>1.7073418402731111</v>
      </c>
    </row>
    <row r="146" spans="1:15" x14ac:dyDescent="0.25">
      <c r="A146">
        <f t="shared" si="60"/>
        <v>46</v>
      </c>
      <c r="B146">
        <f t="shared" si="61"/>
        <v>0.8028514559173916</v>
      </c>
      <c r="C146">
        <f t="shared" si="73"/>
        <v>0.57145565356407579</v>
      </c>
      <c r="D146">
        <f t="shared" si="62"/>
        <v>2.6844850490911672E-2</v>
      </c>
      <c r="E146">
        <f t="shared" si="63"/>
        <v>0.71933980033865108</v>
      </c>
      <c r="H146">
        <f t="shared" si="64"/>
        <v>2.1997209782251125E-3</v>
      </c>
      <c r="I146">
        <f t="shared" si="65"/>
        <v>5.4679186292161855E-2</v>
      </c>
      <c r="J146">
        <f t="shared" si="66"/>
        <v>2.8439453635193485E-2</v>
      </c>
      <c r="K146">
        <f t="shared" si="67"/>
        <v>0.68011970242151998</v>
      </c>
      <c r="L146">
        <f t="shared" si="74"/>
        <v>0.620961219402688</v>
      </c>
      <c r="M146">
        <f t="shared" si="68"/>
        <v>0.48384487761075201</v>
      </c>
      <c r="N146">
        <f t="shared" si="59"/>
        <v>0.5465858947558343</v>
      </c>
      <c r="O146">
        <f t="shared" si="69"/>
        <v>1.8295386134080729</v>
      </c>
    </row>
    <row r="147" spans="1:15" x14ac:dyDescent="0.25">
      <c r="A147">
        <f t="shared" si="60"/>
        <v>47</v>
      </c>
      <c r="B147">
        <f t="shared" si="61"/>
        <v>0.82030474843733492</v>
      </c>
      <c r="C147">
        <f t="shared" si="73"/>
        <v>0.58223253448280166</v>
      </c>
      <c r="D147">
        <f t="shared" si="62"/>
        <v>2.7749614076379509E-2</v>
      </c>
      <c r="E147">
        <f t="shared" si="63"/>
        <v>0.73135370161917046</v>
      </c>
      <c r="H147">
        <f t="shared" si="64"/>
        <v>1.6992463920328489E-3</v>
      </c>
      <c r="I147">
        <f t="shared" si="65"/>
        <v>5.7220367493369305E-2</v>
      </c>
      <c r="J147">
        <f t="shared" si="66"/>
        <v>2.9459806942701078E-2</v>
      </c>
      <c r="K147">
        <f t="shared" si="67"/>
        <v>0.68832064105653679</v>
      </c>
      <c r="L147">
        <f t="shared" si="74"/>
        <v>0.61393433271568887</v>
      </c>
      <c r="M147">
        <f t="shared" si="68"/>
        <v>0.45573733086275547</v>
      </c>
      <c r="N147">
        <f t="shared" si="59"/>
        <v>0.50753834094852823</v>
      </c>
      <c r="O147">
        <f t="shared" si="69"/>
        <v>1.9702944966307767</v>
      </c>
    </row>
    <row r="148" spans="1:15" x14ac:dyDescent="0.25">
      <c r="A148">
        <f t="shared" si="60"/>
        <v>48</v>
      </c>
      <c r="B148">
        <f t="shared" si="61"/>
        <v>0.83775804095727824</v>
      </c>
      <c r="C148">
        <f t="shared" si="73"/>
        <v>0.5928844450820423</v>
      </c>
      <c r="D148">
        <f t="shared" si="62"/>
        <v>2.8750091386808875E-2</v>
      </c>
      <c r="E148">
        <f t="shared" si="63"/>
        <v>0.74314482547739424</v>
      </c>
      <c r="H148">
        <f t="shared" si="64"/>
        <v>1.2428409764471272E-3</v>
      </c>
      <c r="I148">
        <f t="shared" si="65"/>
        <v>5.9943889861911952E-2</v>
      </c>
      <c r="J148">
        <f t="shared" si="66"/>
        <v>3.0593365419179539E-2</v>
      </c>
      <c r="K148">
        <f t="shared" si="67"/>
        <v>0.69602169841361272</v>
      </c>
      <c r="L148">
        <f t="shared" si="74"/>
        <v>0.60663938823881935</v>
      </c>
      <c r="M148">
        <f t="shared" si="68"/>
        <v>0.42655755295527742</v>
      </c>
      <c r="N148">
        <f t="shared" si="59"/>
        <v>0.46854097146987522</v>
      </c>
      <c r="O148">
        <f t="shared" si="69"/>
        <v>2.1342850698048181</v>
      </c>
    </row>
    <row r="149" spans="1:15" x14ac:dyDescent="0.25">
      <c r="A149">
        <f t="shared" si="60"/>
        <v>49</v>
      </c>
      <c r="B149">
        <f t="shared" si="61"/>
        <v>0.85521133347722145</v>
      </c>
      <c r="C149">
        <f t="shared" si="73"/>
        <v>0.60340663916412951</v>
      </c>
      <c r="D149">
        <f t="shared" si="62"/>
        <v>2.9855425241948709E-2</v>
      </c>
      <c r="E149">
        <f t="shared" si="63"/>
        <v>0.75470958022277201</v>
      </c>
      <c r="H149">
        <f t="shared" si="64"/>
        <v>8.3991296059386298E-4</v>
      </c>
      <c r="I149">
        <f t="shared" si="65"/>
        <v>6.2864565792220037E-2</v>
      </c>
      <c r="J149">
        <f t="shared" si="66"/>
        <v>3.1852239376406952E-2</v>
      </c>
      <c r="K149">
        <f t="shared" si="67"/>
        <v>0.70320388970207515</v>
      </c>
      <c r="L149">
        <f t="shared" si="74"/>
        <v>0.59906861109124254</v>
      </c>
      <c r="M149">
        <f t="shared" si="68"/>
        <v>0.39627444436497017</v>
      </c>
      <c r="N149">
        <f t="shared" si="59"/>
        <v>0.4295632796249918</v>
      </c>
      <c r="O149">
        <f t="shared" si="69"/>
        <v>2.3279457240223111</v>
      </c>
    </row>
    <row r="150" spans="1:15" x14ac:dyDescent="0.25">
      <c r="A150">
        <f t="shared" si="60"/>
        <v>50</v>
      </c>
      <c r="B150">
        <f t="shared" si="61"/>
        <v>0.87266462599716477</v>
      </c>
      <c r="C150">
        <f t="shared" si="73"/>
        <v>0.61379423405223421</v>
      </c>
      <c r="D150">
        <f t="shared" si="62"/>
        <v>3.1075515700539142E-2</v>
      </c>
      <c r="E150">
        <f t="shared" si="63"/>
        <v>0.76604444311897801</v>
      </c>
      <c r="H150">
        <f t="shared" si="64"/>
        <v>5.0116460505287923E-4</v>
      </c>
      <c r="I150">
        <f t="shared" si="65"/>
        <v>6.5998561350907994E-2</v>
      </c>
      <c r="J150">
        <f t="shared" si="66"/>
        <v>3.3249862977980438E-2</v>
      </c>
      <c r="K150">
        <f t="shared" si="67"/>
        <v>0.70984768421460731</v>
      </c>
      <c r="L150">
        <f t="shared" si="74"/>
        <v>0.59121414091983759</v>
      </c>
      <c r="M150">
        <f t="shared" si="68"/>
        <v>0.36485656367935038</v>
      </c>
      <c r="N150">
        <f t="shared" si="59"/>
        <v>0.39056556084038618</v>
      </c>
      <c r="O150">
        <f t="shared" si="69"/>
        <v>2.5603895997595996</v>
      </c>
    </row>
    <row r="151" spans="1:15" x14ac:dyDescent="0.25">
      <c r="A151">
        <f t="shared" si="60"/>
        <v>51</v>
      </c>
      <c r="B151">
        <f t="shared" si="61"/>
        <v>0.89011791851710809</v>
      </c>
      <c r="C151">
        <f t="shared" si="73"/>
        <v>0.62404220932479948</v>
      </c>
      <c r="D151">
        <f t="shared" si="62"/>
        <v>3.242105466254281E-2</v>
      </c>
      <c r="E151">
        <f t="shared" si="63"/>
        <v>0.7771459614569709</v>
      </c>
      <c r="H151">
        <f t="shared" si="64"/>
        <v>2.3876528266907748E-4</v>
      </c>
      <c r="I151">
        <f t="shared" si="65"/>
        <v>6.9363526330200861E-2</v>
      </c>
      <c r="J151">
        <f t="shared" si="66"/>
        <v>3.4801145806434966E-2</v>
      </c>
      <c r="K151">
        <f t="shared" si="67"/>
        <v>0.71593300026498174</v>
      </c>
      <c r="L151">
        <f t="shared" si="74"/>
        <v>0.58306805841254228</v>
      </c>
      <c r="M151">
        <f t="shared" si="68"/>
        <v>0.33227223365016911</v>
      </c>
      <c r="N151">
        <f t="shared" si="59"/>
        <v>0.35149790341275716</v>
      </c>
      <c r="O151">
        <f t="shared" si="69"/>
        <v>2.8449671827081127</v>
      </c>
    </row>
    <row r="152" spans="1:15" x14ac:dyDescent="0.25">
      <c r="A152">
        <f t="shared" si="60"/>
        <v>52</v>
      </c>
      <c r="B152">
        <f t="shared" si="61"/>
        <v>0.90757121103705141</v>
      </c>
      <c r="C152">
        <f t="shared" si="73"/>
        <v>0.63414540604449754</v>
      </c>
      <c r="D152">
        <f t="shared" si="62"/>
        <v>3.3903553340100333E-2</v>
      </c>
      <c r="E152">
        <f t="shared" si="63"/>
        <v>0.78801075360672201</v>
      </c>
      <c r="H152">
        <f t="shared" si="64"/>
        <v>6.6548068860850548E-5</v>
      </c>
      <c r="I152">
        <f t="shared" si="65"/>
        <v>7.2978736914595943E-2</v>
      </c>
      <c r="J152">
        <f t="shared" si="66"/>
        <v>3.6522642491728395E-2</v>
      </c>
      <c r="K152">
        <f t="shared" si="67"/>
        <v>0.72143920210388734</v>
      </c>
      <c r="L152">
        <f t="shared" si="74"/>
        <v>0.57462241549754911</v>
      </c>
      <c r="M152">
        <f t="shared" si="68"/>
        <v>0.29848966199019644</v>
      </c>
      <c r="N152">
        <f t="shared" si="59"/>
        <v>0.31229898118115124</v>
      </c>
      <c r="O152">
        <f t="shared" si="69"/>
        <v>3.202059757665181</v>
      </c>
    </row>
    <row r="153" spans="1:15" x14ac:dyDescent="0.25">
      <c r="A153">
        <f t="shared" si="60"/>
        <v>53</v>
      </c>
      <c r="B153">
        <f t="shared" si="61"/>
        <v>0.92502450355699462</v>
      </c>
      <c r="C153">
        <f t="shared" si="73"/>
        <v>0.64409852654834232</v>
      </c>
      <c r="D153">
        <f t="shared" si="62"/>
        <v>3.5535359278289366E-2</v>
      </c>
      <c r="E153">
        <f t="shared" si="63"/>
        <v>0.79863551004729283</v>
      </c>
      <c r="H153">
        <f t="shared" si="64"/>
        <v>2.3313654408122233E-7</v>
      </c>
      <c r="I153">
        <f t="shared" si="65"/>
        <v>7.6865252099853787E-2</v>
      </c>
      <c r="J153">
        <f t="shared" si="66"/>
        <v>3.8432742618198935E-2</v>
      </c>
      <c r="K153">
        <f t="shared" si="67"/>
        <v>0.72634509907938005</v>
      </c>
      <c r="L153">
        <f t="shared" si="74"/>
        <v>0.5658692694912224</v>
      </c>
      <c r="M153">
        <f t="shared" si="68"/>
        <v>0.26347707796488962</v>
      </c>
      <c r="N153">
        <f t="shared" si="59"/>
        <v>0.27289460276720018</v>
      </c>
      <c r="O153">
        <f t="shared" si="69"/>
        <v>3.6644183866585149</v>
      </c>
    </row>
    <row r="154" spans="1:15" x14ac:dyDescent="0.25">
      <c r="A154">
        <f t="shared" si="60"/>
        <v>54</v>
      </c>
      <c r="B154">
        <f t="shared" si="61"/>
        <v>0.94247779607693793</v>
      </c>
      <c r="C154">
        <f t="shared" si="73"/>
        <v>0.65389613487010845</v>
      </c>
      <c r="D154">
        <f t="shared" si="62"/>
        <v>3.7329658667818809E-2</v>
      </c>
      <c r="E154">
        <f t="shared" si="63"/>
        <v>0.80901699437494745</v>
      </c>
      <c r="H154">
        <f t="shared" si="64"/>
        <v>5.768172924771465E-5</v>
      </c>
      <c r="I154">
        <f t="shared" si="65"/>
        <v>8.1046085082496777E-2</v>
      </c>
      <c r="J154">
        <f t="shared" si="66"/>
        <v>4.0551883405872242E-2</v>
      </c>
      <c r="K154">
        <f t="shared" si="67"/>
        <v>0.73062894732655792</v>
      </c>
      <c r="L154">
        <f t="shared" si="74"/>
        <v>0.55680072144791071</v>
      </c>
      <c r="M154">
        <f t="shared" si="68"/>
        <v>0.22720288579164283</v>
      </c>
      <c r="N154">
        <f t="shared" si="59"/>
        <v>0.23319596030569101</v>
      </c>
      <c r="O154">
        <f t="shared" si="69"/>
        <v>4.2882389501478668</v>
      </c>
    </row>
    <row r="155" spans="1:15" x14ac:dyDescent="0.25">
      <c r="A155">
        <f t="shared" si="60"/>
        <v>55</v>
      </c>
      <c r="B155">
        <f t="shared" si="61"/>
        <v>0.95993108859688125</v>
      </c>
      <c r="C155">
        <f t="shared" si="73"/>
        <v>0.66353265787048266</v>
      </c>
      <c r="D155">
        <f t="shared" si="62"/>
        <v>3.9300458527635154E-2</v>
      </c>
      <c r="E155">
        <f t="shared" si="63"/>
        <v>0.8191520442889918</v>
      </c>
      <c r="H155">
        <f t="shared" si="64"/>
        <v>2.5918503688760424E-4</v>
      </c>
      <c r="I155">
        <f t="shared" si="65"/>
        <v>8.5546390917043705E-2</v>
      </c>
      <c r="J155">
        <f t="shared" si="66"/>
        <v>4.2902787976965652E-2</v>
      </c>
      <c r="K155">
        <f t="shared" si="67"/>
        <v>0.73426845428816812</v>
      </c>
      <c r="L155">
        <f t="shared" si="74"/>
        <v>0.54740895894833974</v>
      </c>
      <c r="M155">
        <f t="shared" si="68"/>
        <v>0.18963583579335896</v>
      </c>
      <c r="N155">
        <f t="shared" si="59"/>
        <v>0.19309750526492236</v>
      </c>
      <c r="O155">
        <f t="shared" si="69"/>
        <v>5.1787308107789292</v>
      </c>
    </row>
    <row r="156" spans="1:15" x14ac:dyDescent="0.25">
      <c r="A156">
        <f t="shared" si="60"/>
        <v>56</v>
      </c>
      <c r="B156">
        <f t="shared" si="61"/>
        <v>0.97738438111682457</v>
      </c>
      <c r="C156">
        <f t="shared" si="73"/>
        <v>0.67300238715431693</v>
      </c>
      <c r="D156">
        <f t="shared" si="62"/>
        <v>4.1462541898930033E-2</v>
      </c>
      <c r="E156">
        <f t="shared" si="63"/>
        <v>0.82903757255504174</v>
      </c>
      <c r="H156">
        <f t="shared" si="64"/>
        <v>6.2779293358850811E-4</v>
      </c>
      <c r="I156">
        <f t="shared" si="65"/>
        <v>9.0393671815746368E-2</v>
      </c>
      <c r="J156">
        <f t="shared" si="66"/>
        <v>4.5510732374667441E-2</v>
      </c>
      <c r="K156">
        <f t="shared" si="67"/>
        <v>0.73724078638361856</v>
      </c>
      <c r="L156">
        <f t="shared" si="74"/>
        <v>0.53768630353884006</v>
      </c>
      <c r="M156">
        <f t="shared" si="68"/>
        <v>0.15074521415536024</v>
      </c>
      <c r="N156">
        <f t="shared" si="59"/>
        <v>0.15247435877244139</v>
      </c>
      <c r="O156">
        <f t="shared" si="69"/>
        <v>6.5584797867058979</v>
      </c>
    </row>
    <row r="157" spans="1:15" x14ac:dyDescent="0.25">
      <c r="A157">
        <f t="shared" si="60"/>
        <v>57</v>
      </c>
      <c r="B157">
        <f t="shared" si="61"/>
        <v>0.99483767363676789</v>
      </c>
      <c r="C157">
        <f t="shared" si="73"/>
        <v>0.6822994818577639</v>
      </c>
      <c r="D157">
        <f t="shared" si="62"/>
        <v>4.3831387428465582E-2</v>
      </c>
      <c r="E157">
        <f t="shared" si="63"/>
        <v>0.83867056794542405</v>
      </c>
      <c r="H157">
        <f t="shared" si="64"/>
        <v>1.1896882695153026E-3</v>
      </c>
      <c r="I157">
        <f t="shared" si="65"/>
        <v>9.5618001539824762E-2</v>
      </c>
      <c r="J157">
        <f t="shared" si="66"/>
        <v>4.8403844904670035E-2</v>
      </c>
      <c r="K157">
        <f t="shared" si="67"/>
        <v>0.73952258015751982</v>
      </c>
      <c r="L157">
        <f t="shared" si="74"/>
        <v>0.52762526300010748</v>
      </c>
      <c r="M157">
        <f t="shared" si="68"/>
        <v>0.11050105200042992</v>
      </c>
      <c r="N157">
        <f t="shared" si="59"/>
        <v>0.1111791370534716</v>
      </c>
      <c r="O157">
        <f t="shared" si="69"/>
        <v>8.9944932700732334</v>
      </c>
    </row>
    <row r="158" spans="1:15" x14ac:dyDescent="0.25">
      <c r="A158">
        <f t="shared" si="60"/>
        <v>58</v>
      </c>
      <c r="B158">
        <f t="shared" si="61"/>
        <v>1.0122909661567112</v>
      </c>
      <c r="C158">
        <f t="shared" si="73"/>
        <v>0.69141797239083758</v>
      </c>
      <c r="D158">
        <f t="shared" si="62"/>
        <v>4.6423042565852272E-2</v>
      </c>
      <c r="E158">
        <f t="shared" si="63"/>
        <v>0.84804809615642596</v>
      </c>
      <c r="H158">
        <f t="shared" si="64"/>
        <v>1.9746132549138722E-3</v>
      </c>
      <c r="I158">
        <f t="shared" si="65"/>
        <v>0.10125227039989881</v>
      </c>
      <c r="J158">
        <f t="shared" si="66"/>
        <v>5.1613441827406341E-2</v>
      </c>
      <c r="K158">
        <f t="shared" si="67"/>
        <v>0.74108995724992788</v>
      </c>
      <c r="L158">
        <f t="shared" si="74"/>
        <v>0.51721858858028091</v>
      </c>
      <c r="M158">
        <f t="shared" si="68"/>
        <v>6.8874354321123654E-2</v>
      </c>
      <c r="N158">
        <f t="shared" si="59"/>
        <v>6.9038036663483529E-2</v>
      </c>
      <c r="O158">
        <f t="shared" si="69"/>
        <v>14.484768807583032</v>
      </c>
    </row>
    <row r="159" spans="1:15" x14ac:dyDescent="0.25">
      <c r="A159">
        <f t="shared" si="60"/>
        <v>59</v>
      </c>
      <c r="B159">
        <f t="shared" si="61"/>
        <v>1.0297442586766545</v>
      </c>
      <c r="C159">
        <f t="shared" si="73"/>
        <v>0.70035176522282638</v>
      </c>
      <c r="D159">
        <f t="shared" si="62"/>
        <v>4.9253936986347314E-2</v>
      </c>
      <c r="E159">
        <f t="shared" si="63"/>
        <v>0.85716730070211233</v>
      </c>
      <c r="H159">
        <f t="shared" si="64"/>
        <v>3.0163554533714364E-3</v>
      </c>
      <c r="I159">
        <f t="shared" si="65"/>
        <v>0.1073324524438638</v>
      </c>
      <c r="J159">
        <f t="shared" si="66"/>
        <v>5.5174403948617619E-2</v>
      </c>
      <c r="K159">
        <f t="shared" si="67"/>
        <v>0.74191854353799647</v>
      </c>
      <c r="L159">
        <f t="shared" si="74"/>
        <v>0.50645933727170322</v>
      </c>
      <c r="M159">
        <f t="shared" si="68"/>
        <v>2.58373490868129E-2</v>
      </c>
      <c r="N159">
        <f t="shared" si="59"/>
        <v>2.584597558786909E-2</v>
      </c>
      <c r="O159">
        <f t="shared" si="69"/>
        <v>38.690743036581445</v>
      </c>
    </row>
    <row r="160" spans="1:15" x14ac:dyDescent="0.25">
      <c r="A160">
        <f t="shared" si="60"/>
        <v>60</v>
      </c>
      <c r="B160">
        <f t="shared" si="61"/>
        <v>1.0471975511965976</v>
      </c>
      <c r="C160">
        <f t="shared" si="73"/>
        <v>0.70909464879879069</v>
      </c>
      <c r="D160">
        <f t="shared" si="62"/>
        <v>5.2340619701792948E-2</v>
      </c>
      <c r="E160">
        <f t="shared" si="63"/>
        <v>0.8660254037844386</v>
      </c>
      <c r="H160">
        <f t="shared" si="64"/>
        <v>4.3533020350477961E-3</v>
      </c>
      <c r="I160">
        <f t="shared" si="65"/>
        <v>0.11389789645973679</v>
      </c>
      <c r="J160">
        <f t="shared" si="66"/>
        <v>5.9125599247392295E-2</v>
      </c>
      <c r="K160">
        <f t="shared" si="67"/>
        <v>0.74198349280196751</v>
      </c>
      <c r="L160">
        <f t="shared" si="74"/>
        <v>0.49534093914270244</v>
      </c>
      <c r="M160">
        <f t="shared" si="68"/>
        <v>-1.8636243429190236E-2</v>
      </c>
      <c r="N160">
        <f t="shared" si="59"/>
        <v>-1.8639480170422947E-2</v>
      </c>
      <c r="O160">
        <f t="shared" si="69"/>
        <v>-53.649564840697437</v>
      </c>
    </row>
    <row r="161" spans="1:15" x14ac:dyDescent="0.25">
      <c r="A161">
        <f t="shared" si="60"/>
        <v>61</v>
      </c>
      <c r="B161">
        <f t="shared" si="61"/>
        <v>1.064650843716541</v>
      </c>
      <c r="C161">
        <f t="shared" si="73"/>
        <v>0.71764030067489315</v>
      </c>
      <c r="D161">
        <f t="shared" si="62"/>
        <v>5.5699399558512955E-2</v>
      </c>
      <c r="E161">
        <f t="shared" si="63"/>
        <v>0.87461970713939574</v>
      </c>
      <c r="H161">
        <f t="shared" si="64"/>
        <v>6.0290722558410653E-3</v>
      </c>
      <c r="I161">
        <f t="shared" si="65"/>
        <v>0.12099164245537654</v>
      </c>
      <c r="J161">
        <f t="shared" si="66"/>
        <v>6.3510357355608796E-2</v>
      </c>
      <c r="K161">
        <f t="shared" si="67"/>
        <v>0.7412595152664907</v>
      </c>
      <c r="L161">
        <f t="shared" si="74"/>
        <v>0.48385726965416137</v>
      </c>
      <c r="M161">
        <f t="shared" si="68"/>
        <v>-6.4570921383354518E-2</v>
      </c>
      <c r="N161">
        <f t="shared" si="59"/>
        <v>-6.4705766759276709E-2</v>
      </c>
      <c r="O161">
        <f t="shared" si="69"/>
        <v>-15.454573063329512</v>
      </c>
    </row>
    <row r="162" spans="1:15" x14ac:dyDescent="0.25">
      <c r="A162">
        <f t="shared" si="60"/>
        <v>62</v>
      </c>
      <c r="B162">
        <f t="shared" si="61"/>
        <v>1.0821041362364843</v>
      </c>
      <c r="C162">
        <f t="shared" si="73"/>
        <v>0.72598229595825714</v>
      </c>
      <c r="D162">
        <f t="shared" si="62"/>
        <v>5.934586436631873E-2</v>
      </c>
      <c r="E162">
        <f t="shared" si="63"/>
        <v>0.88294759285892688</v>
      </c>
      <c r="H162">
        <f t="shared" si="64"/>
        <v>8.0932396567203191E-3</v>
      </c>
      <c r="I162">
        <f t="shared" si="65"/>
        <v>0.12866076529230053</v>
      </c>
      <c r="J162">
        <f t="shared" si="66"/>
        <v>6.8377002474510423E-2</v>
      </c>
      <c r="K162">
        <f t="shared" si="67"/>
        <v>0.73972091136006002</v>
      </c>
      <c r="L162">
        <f t="shared" si="74"/>
        <v>0.47200272679487315</v>
      </c>
      <c r="M162">
        <f t="shared" si="68"/>
        <v>-0.1119890928205074</v>
      </c>
      <c r="N162">
        <f t="shared" si="59"/>
        <v>-0.11269504018102709</v>
      </c>
      <c r="O162">
        <f t="shared" si="69"/>
        <v>-8.8735049776250587</v>
      </c>
    </row>
    <row r="163" spans="1:15" x14ac:dyDescent="0.25">
      <c r="A163">
        <f t="shared" si="60"/>
        <v>63</v>
      </c>
      <c r="B163">
        <f t="shared" si="61"/>
        <v>1.0995574287564276</v>
      </c>
      <c r="C163">
        <f t="shared" si="73"/>
        <v>0.73411411713322383</v>
      </c>
      <c r="D163">
        <f t="shared" si="62"/>
        <v>6.3294248694111335E-2</v>
      </c>
      <c r="E163">
        <f t="shared" si="63"/>
        <v>0.89100652418836779</v>
      </c>
      <c r="H163">
        <f t="shared" si="64"/>
        <v>1.0602157256503096E-2</v>
      </c>
      <c r="I163">
        <f t="shared" si="65"/>
        <v>0.13695674714234859</v>
      </c>
      <c r="J163">
        <f t="shared" si="66"/>
        <v>7.3779452199425846E-2</v>
      </c>
      <c r="K163">
        <f t="shared" si="67"/>
        <v>0.73734161102004014</v>
      </c>
      <c r="L163">
        <f t="shared" si="74"/>
        <v>0.4597723127593088</v>
      </c>
      <c r="M163">
        <f t="shared" si="68"/>
        <v>-0.1609107489627648</v>
      </c>
      <c r="N163">
        <f t="shared" si="59"/>
        <v>-0.16301663451480655</v>
      </c>
      <c r="O163">
        <f t="shared" si="69"/>
        <v>-6.1343433016903042</v>
      </c>
    </row>
    <row r="164" spans="1:15" x14ac:dyDescent="0.25">
      <c r="A164">
        <f t="shared" si="60"/>
        <v>64</v>
      </c>
      <c r="B164">
        <f t="shared" si="61"/>
        <v>1.1170107212763709</v>
      </c>
      <c r="C164">
        <f t="shared" si="73"/>
        <v>0.74202916534997254</v>
      </c>
      <c r="D164">
        <f t="shared" si="62"/>
        <v>6.7556614370882492E-2</v>
      </c>
      <c r="E164">
        <f t="shared" si="63"/>
        <v>0.89879404629916704</v>
      </c>
      <c r="H164">
        <f t="shared" si="64"/>
        <v>1.3619901086361954E-2</v>
      </c>
      <c r="I164">
        <f t="shared" si="65"/>
        <v>0.14593588039841773</v>
      </c>
      <c r="J164">
        <f t="shared" si="66"/>
        <v>7.9777890742389848E-2</v>
      </c>
      <c r="K164">
        <f t="shared" si="67"/>
        <v>0.73409521884714835</v>
      </c>
      <c r="L164">
        <f t="shared" si="74"/>
        <v>0.44716171976659425</v>
      </c>
      <c r="M164">
        <f t="shared" si="68"/>
        <v>-0.21135312093362302</v>
      </c>
      <c r="N164">
        <f t="shared" si="59"/>
        <v>-0.21616319560267619</v>
      </c>
      <c r="O164">
        <f t="shared" si="69"/>
        <v>-4.6261344222449106</v>
      </c>
    </row>
    <row r="165" spans="1:15" x14ac:dyDescent="0.25">
      <c r="A165">
        <f t="shared" si="60"/>
        <v>65</v>
      </c>
      <c r="B165">
        <f t="shared" si="61"/>
        <v>1.1344640137963142</v>
      </c>
      <c r="C165">
        <f t="shared" ref="C165:C188" si="75">ASIN(SIN(B165)/Index_of_ref)</f>
        <v>0.74972077324328434</v>
      </c>
      <c r="D165">
        <f t="shared" si="62"/>
        <v>7.2141800966923339E-2</v>
      </c>
      <c r="E165">
        <f t="shared" si="63"/>
        <v>0.90630778703664994</v>
      </c>
      <c r="H165">
        <f t="shared" si="64"/>
        <v>1.72193498396261E-2</v>
      </c>
      <c r="I165">
        <f t="shared" si="65"/>
        <v>0.1556597025980983</v>
      </c>
      <c r="J165">
        <f t="shared" si="66"/>
        <v>8.6439526218862195E-2</v>
      </c>
      <c r="K165">
        <f t="shared" si="67"/>
        <v>0.72995506538050892</v>
      </c>
      <c r="L165">
        <f t="shared" ref="L165:L188" si="76">1/SQRT(1-(SIN(B165)/Index_of_ref)^2)*COS(B165)/Index_of_ref</f>
        <v>0.43416741948079418</v>
      </c>
      <c r="M165">
        <f t="shared" si="68"/>
        <v>-0.26333032207682328</v>
      </c>
      <c r="N165">
        <f t="shared" ref="N165:N188" si="77">M165/COS(M165)</f>
        <v>-0.27273180761582727</v>
      </c>
      <c r="O165">
        <f t="shared" si="69"/>
        <v>-3.6666056986232052</v>
      </c>
    </row>
    <row r="166" spans="1:15" x14ac:dyDescent="0.25">
      <c r="A166">
        <f t="shared" ref="A166:A188" si="78">A165+1</f>
        <v>66</v>
      </c>
      <c r="B166">
        <f t="shared" ref="B166:B188" si="79">RADIANS(A166)</f>
        <v>1.1519173063162575</v>
      </c>
      <c r="C166">
        <f t="shared" si="75"/>
        <v>0.75718221933850227</v>
      </c>
      <c r="D166">
        <f t="shared" ref="D166:D188" si="80">J166*(1-J166)^2</f>
        <v>7.7054096113914589E-2</v>
      </c>
      <c r="E166">
        <f t="shared" ref="E166:E188" si="81">SIN(B166)</f>
        <v>0.91354545764260087</v>
      </c>
      <c r="H166">
        <f t="shared" ref="H166:H187" si="82">(TAN(B166-C166)/TAN(B166+C166))^2</f>
        <v>2.1483421251500916E-2</v>
      </c>
      <c r="I166">
        <f t="shared" ref="I166:I187" si="83">(SIN(B166-C166)/SIN(B166+C166))^2</f>
        <v>0.16619546480551031</v>
      </c>
      <c r="J166">
        <f t="shared" ref="J166:J188" si="84">0.5*(H166+I166)</f>
        <v>9.3839443028505609E-2</v>
      </c>
      <c r="K166">
        <f t="shared" ref="K166:K187" si="85">4*C166-2*B166</f>
        <v>0.72489426472149399</v>
      </c>
      <c r="L166">
        <f t="shared" si="76"/>
        <v>0.42078675534138282</v>
      </c>
      <c r="M166">
        <f t="shared" ref="M166:M188" si="86">4*L166-2</f>
        <v>-0.31685297863446871</v>
      </c>
      <c r="N166">
        <f t="shared" si="77"/>
        <v>-0.33345199778990159</v>
      </c>
      <c r="O166">
        <f t="shared" ref="O166:O188" si="87">1/N166</f>
        <v>-2.9989323999494251</v>
      </c>
    </row>
    <row r="167" spans="1:15" x14ac:dyDescent="0.25">
      <c r="A167">
        <f t="shared" si="78"/>
        <v>67</v>
      </c>
      <c r="B167">
        <f t="shared" si="79"/>
        <v>1.1693705988362009</v>
      </c>
      <c r="C167">
        <f t="shared" si="75"/>
        <v>0.76440674408827647</v>
      </c>
      <c r="D167">
        <f t="shared" si="80"/>
        <v>8.2291567724528697E-2</v>
      </c>
      <c r="E167">
        <f t="shared" si="81"/>
        <v>0.92050485345244037</v>
      </c>
      <c r="H167">
        <f t="shared" si="82"/>
        <v>2.650648915942504E-2</v>
      </c>
      <c r="I167">
        <f t="shared" si="83"/>
        <v>0.17761663473530373</v>
      </c>
      <c r="J167">
        <f t="shared" si="84"/>
        <v>0.10206156194736439</v>
      </c>
      <c r="K167">
        <f t="shared" si="85"/>
        <v>0.71888577868070414</v>
      </c>
      <c r="L167">
        <f t="shared" si="76"/>
        <v>0.40701803695110184</v>
      </c>
      <c r="M167">
        <f t="shared" si="86"/>
        <v>-0.37192785219559266</v>
      </c>
      <c r="N167">
        <f t="shared" si="77"/>
        <v>-0.39922336341230613</v>
      </c>
      <c r="O167">
        <f t="shared" si="87"/>
        <v>-2.5048634214506866</v>
      </c>
    </row>
    <row r="168" spans="1:15" x14ac:dyDescent="0.25">
      <c r="A168">
        <f t="shared" si="78"/>
        <v>68</v>
      </c>
      <c r="B168">
        <f t="shared" si="79"/>
        <v>1.1868238913561442</v>
      </c>
      <c r="C168">
        <f t="shared" si="75"/>
        <v>0.77138756756733584</v>
      </c>
      <c r="D168">
        <f t="shared" si="80"/>
        <v>8.7843992509041999E-2</v>
      </c>
      <c r="E168">
        <f t="shared" si="81"/>
        <v>0.92718385456678742</v>
      </c>
      <c r="H168">
        <f t="shared" si="82"/>
        <v>3.2396009122163075E-2</v>
      </c>
      <c r="I168">
        <f t="shared" si="83"/>
        <v>0.19000343568671374</v>
      </c>
      <c r="J168">
        <f t="shared" si="84"/>
        <v>0.1111997224044384</v>
      </c>
      <c r="K168">
        <f t="shared" si="85"/>
        <v>0.71190248755705499</v>
      </c>
      <c r="L168">
        <f t="shared" si="76"/>
        <v>0.39286063549924488</v>
      </c>
      <c r="M168">
        <f t="shared" si="86"/>
        <v>-0.42855745800302047</v>
      </c>
      <c r="N168">
        <f t="shared" si="77"/>
        <v>-0.47116689042905602</v>
      </c>
      <c r="O168">
        <f t="shared" si="87"/>
        <v>-2.1223902195024267</v>
      </c>
    </row>
    <row r="169" spans="1:15" x14ac:dyDescent="0.25">
      <c r="A169">
        <f t="shared" si="78"/>
        <v>69</v>
      </c>
      <c r="B169">
        <f t="shared" si="79"/>
        <v>1.2042771838760873</v>
      </c>
      <c r="C169">
        <f t="shared" si="75"/>
        <v>0.77811790883318466</v>
      </c>
      <c r="D169">
        <f t="shared" si="80"/>
        <v>9.3690308558783117E-2</v>
      </c>
      <c r="E169">
        <f t="shared" si="81"/>
        <v>0.93358042649720174</v>
      </c>
      <c r="H169">
        <f t="shared" si="82"/>
        <v>3.9274385111648241E-2</v>
      </c>
      <c r="I169">
        <f t="shared" si="83"/>
        <v>0.20344342207774316</v>
      </c>
      <c r="J169">
        <f t="shared" si="84"/>
        <v>0.1213589035946957</v>
      </c>
      <c r="K169">
        <f t="shared" si="85"/>
        <v>0.70391726758056405</v>
      </c>
      <c r="L169">
        <f t="shared" si="76"/>
        <v>0.37831507902568723</v>
      </c>
      <c r="M169">
        <f t="shared" si="86"/>
        <v>-0.48673968389725109</v>
      </c>
      <c r="N169">
        <f t="shared" si="77"/>
        <v>-0.55069612442456217</v>
      </c>
      <c r="O169">
        <f t="shared" si="87"/>
        <v>-1.8158834893652611</v>
      </c>
    </row>
    <row r="170" spans="1:15" x14ac:dyDescent="0.25">
      <c r="A170">
        <f t="shared" si="78"/>
        <v>70</v>
      </c>
      <c r="B170">
        <f t="shared" si="79"/>
        <v>1.2217304763960306</v>
      </c>
      <c r="C170">
        <f t="shared" si="75"/>
        <v>0.78459100693826778</v>
      </c>
      <c r="D170">
        <f t="shared" si="80"/>
        <v>9.9795515662641346E-2</v>
      </c>
      <c r="E170">
        <f t="shared" si="81"/>
        <v>0.93969262078590832</v>
      </c>
      <c r="H170">
        <f t="shared" si="82"/>
        <v>4.7281115279382016E-2</v>
      </c>
      <c r="I170">
        <f t="shared" si="83"/>
        <v>0.21803209202309473</v>
      </c>
      <c r="J170">
        <f t="shared" si="84"/>
        <v>0.13265660365123838</v>
      </c>
      <c r="K170">
        <f t="shared" si="85"/>
        <v>0.69490307496100989</v>
      </c>
      <c r="L170">
        <f t="shared" si="76"/>
        <v>0.36338314615958872</v>
      </c>
      <c r="M170">
        <f t="shared" si="86"/>
        <v>-0.54646741536164511</v>
      </c>
      <c r="N170">
        <f t="shared" si="77"/>
        <v>-0.6396177380296012</v>
      </c>
      <c r="O170">
        <f t="shared" si="87"/>
        <v>-1.5634338145164455</v>
      </c>
    </row>
    <row r="171" spans="1:15" x14ac:dyDescent="0.25">
      <c r="A171">
        <f t="shared" si="78"/>
        <v>71</v>
      </c>
      <c r="B171">
        <f t="shared" si="79"/>
        <v>1.2391837689159739</v>
      </c>
      <c r="C171">
        <f t="shared" si="75"/>
        <v>0.79080014355385875</v>
      </c>
      <c r="D171">
        <f t="shared" si="80"/>
        <v>0.10610694782335818</v>
      </c>
      <c r="E171">
        <f t="shared" si="81"/>
        <v>0.94551857559931674</v>
      </c>
      <c r="H171">
        <f t="shared" si="82"/>
        <v>5.6575261314682442E-2</v>
      </c>
      <c r="I171">
        <f t="shared" si="83"/>
        <v>0.23387353697791127</v>
      </c>
      <c r="J171">
        <f t="shared" si="84"/>
        <v>0.14522439914629687</v>
      </c>
      <c r="K171">
        <f t="shared" si="85"/>
        <v>0.68483303638348714</v>
      </c>
      <c r="L171">
        <f t="shared" si="76"/>
        <v>0.34806795680256797</v>
      </c>
      <c r="M171">
        <f t="shared" si="86"/>
        <v>-0.60772817278972813</v>
      </c>
      <c r="N171">
        <f t="shared" si="77"/>
        <v>-0.74027666608753573</v>
      </c>
      <c r="O171">
        <f t="shared" si="87"/>
        <v>-1.350846306267004</v>
      </c>
    </row>
    <row r="172" spans="1:15" x14ac:dyDescent="0.25">
      <c r="A172">
        <f t="shared" si="78"/>
        <v>72</v>
      </c>
      <c r="B172">
        <f t="shared" si="79"/>
        <v>1.2566370614359172</v>
      </c>
      <c r="C172">
        <f t="shared" si="75"/>
        <v>0.79673866713788666</v>
      </c>
      <c r="D172">
        <f t="shared" si="80"/>
        <v>0.1125498518656696</v>
      </c>
      <c r="E172">
        <f t="shared" si="81"/>
        <v>0.95105651629515353</v>
      </c>
      <c r="H172">
        <f t="shared" si="82"/>
        <v>6.7338293671644206E-2</v>
      </c>
      <c r="I172">
        <f t="shared" si="83"/>
        <v>0.25108112796697146</v>
      </c>
      <c r="J172">
        <f t="shared" si="84"/>
        <v>0.15920971081930785</v>
      </c>
      <c r="K172">
        <f t="shared" si="85"/>
        <v>0.67368054567971214</v>
      </c>
      <c r="L172">
        <f t="shared" si="76"/>
        <v>0.33237405807605402</v>
      </c>
      <c r="M172">
        <f t="shared" si="86"/>
        <v>-0.6705037676957839</v>
      </c>
      <c r="N172">
        <f t="shared" si="77"/>
        <v>-0.85577063638189754</v>
      </c>
      <c r="O172">
        <f t="shared" si="87"/>
        <v>-1.1685374065040233</v>
      </c>
    </row>
    <row r="173" spans="1:15" x14ac:dyDescent="0.25">
      <c r="A173">
        <f t="shared" si="78"/>
        <v>73</v>
      </c>
      <c r="B173">
        <f t="shared" si="79"/>
        <v>1.2740903539558606</v>
      </c>
      <c r="C173">
        <f t="shared" si="75"/>
        <v>0.80240001854842391</v>
      </c>
      <c r="D173">
        <f t="shared" si="80"/>
        <v>0.11902222980469664</v>
      </c>
      <c r="E173">
        <f t="shared" si="81"/>
        <v>0.95630475596303544</v>
      </c>
      <c r="H173">
        <f t="shared" si="82"/>
        <v>7.977737421252E-2</v>
      </c>
      <c r="I173">
        <f t="shared" si="83"/>
        <v>0.2697782373310697</v>
      </c>
      <c r="J173">
        <f t="shared" si="84"/>
        <v>0.17477780577179486</v>
      </c>
      <c r="K173">
        <f t="shared" si="85"/>
        <v>0.66141936628197451</v>
      </c>
      <c r="L173">
        <f t="shared" si="76"/>
        <v>0.31630750372408839</v>
      </c>
      <c r="M173">
        <f t="shared" si="86"/>
        <v>-0.73476998510364644</v>
      </c>
      <c r="N173">
        <f t="shared" si="77"/>
        <v>-0.99027609194999111</v>
      </c>
      <c r="O173">
        <f t="shared" si="87"/>
        <v>-1.0098193909042692</v>
      </c>
    </row>
    <row r="174" spans="1:15" x14ac:dyDescent="0.25">
      <c r="A174">
        <f t="shared" si="78"/>
        <v>74</v>
      </c>
      <c r="B174">
        <f t="shared" si="79"/>
        <v>1.2915436464758039</v>
      </c>
      <c r="C174">
        <f t="shared" si="75"/>
        <v>0.80777775797208828</v>
      </c>
      <c r="D174">
        <f t="shared" si="80"/>
        <v>0.12538894948510887</v>
      </c>
      <c r="E174">
        <f t="shared" si="81"/>
        <v>0.96126169593831889</v>
      </c>
      <c r="H174">
        <f t="shared" si="82"/>
        <v>9.4129148928482911E-2</v>
      </c>
      <c r="I174">
        <f t="shared" si="83"/>
        <v>0.29009899424577779</v>
      </c>
      <c r="J174">
        <f t="shared" si="84"/>
        <v>0.19211407158713034</v>
      </c>
      <c r="K174">
        <f t="shared" si="85"/>
        <v>0.64802373893674536</v>
      </c>
      <c r="L174">
        <f t="shared" si="76"/>
        <v>0.29987592506420735</v>
      </c>
      <c r="M174">
        <f t="shared" si="86"/>
        <v>-0.8004962997431706</v>
      </c>
      <c r="N174">
        <f t="shared" si="77"/>
        <v>-1.1495592878674008</v>
      </c>
      <c r="O174">
        <f t="shared" si="87"/>
        <v>-0.86989858683595611</v>
      </c>
    </row>
    <row r="175" spans="1:15" x14ac:dyDescent="0.25">
      <c r="A175">
        <f t="shared" si="78"/>
        <v>75</v>
      </c>
      <c r="B175">
        <f t="shared" si="79"/>
        <v>1.3089969389957472</v>
      </c>
      <c r="C175">
        <f t="shared" si="75"/>
        <v>0.81286559300272843</v>
      </c>
      <c r="D175">
        <f t="shared" si="80"/>
        <v>0.13147521106860235</v>
      </c>
      <c r="E175">
        <f t="shared" si="81"/>
        <v>0.96592582628906831</v>
      </c>
      <c r="H175">
        <f t="shared" si="82"/>
        <v>0.11066413676603706</v>
      </c>
      <c r="I175">
        <f t="shared" si="83"/>
        <v>0.31218907150145592</v>
      </c>
      <c r="J175">
        <f t="shared" si="84"/>
        <v>0.21142660413374648</v>
      </c>
      <c r="K175">
        <f t="shared" si="85"/>
        <v>0.63346849401941929</v>
      </c>
      <c r="L175">
        <f t="shared" si="76"/>
        <v>0.2830885915185668</v>
      </c>
      <c r="M175">
        <f t="shared" si="86"/>
        <v>-0.8676456339257328</v>
      </c>
      <c r="N175">
        <f t="shared" si="77"/>
        <v>-1.3418080269000641</v>
      </c>
      <c r="O175">
        <f t="shared" si="87"/>
        <v>-0.74526309274678271</v>
      </c>
    </row>
    <row r="176" spans="1:15" x14ac:dyDescent="0.25">
      <c r="A176">
        <f t="shared" si="78"/>
        <v>76</v>
      </c>
      <c r="B176">
        <f t="shared" si="79"/>
        <v>1.3264502315156905</v>
      </c>
      <c r="C176">
        <f t="shared" si="75"/>
        <v>0.81765740767121853</v>
      </c>
      <c r="D176">
        <f t="shared" si="80"/>
        <v>0.13705959600094647</v>
      </c>
      <c r="E176">
        <f t="shared" si="81"/>
        <v>0.97029572627599647</v>
      </c>
      <c r="H176">
        <f t="shared" si="82"/>
        <v>0.12969181672240801</v>
      </c>
      <c r="I176">
        <f t="shared" si="83"/>
        <v>0.33620650017853365</v>
      </c>
      <c r="J176">
        <f t="shared" si="84"/>
        <v>0.23294915845047082</v>
      </c>
      <c r="K176">
        <f t="shared" si="85"/>
        <v>0.61772916765349306</v>
      </c>
      <c r="L176">
        <f t="shared" si="76"/>
        <v>0.26595645874341683</v>
      </c>
      <c r="M176">
        <f t="shared" si="86"/>
        <v>-0.93617416502633266</v>
      </c>
      <c r="N176">
        <f t="shared" si="77"/>
        <v>-1.5790459588353825</v>
      </c>
      <c r="O176">
        <f t="shared" si="87"/>
        <v>-0.6332937900918002</v>
      </c>
    </row>
    <row r="177" spans="1:15" x14ac:dyDescent="0.25">
      <c r="A177">
        <f t="shared" si="78"/>
        <v>77</v>
      </c>
      <c r="B177">
        <f t="shared" si="79"/>
        <v>1.3439035240356338</v>
      </c>
      <c r="C177">
        <f t="shared" si="75"/>
        <v>0.82214729219287119</v>
      </c>
      <c r="D177">
        <f t="shared" si="80"/>
        <v>0.14186714970249714</v>
      </c>
      <c r="E177">
        <f t="shared" si="81"/>
        <v>0.97437006478523525</v>
      </c>
      <c r="H177">
        <f t="shared" si="82"/>
        <v>0.15156653491931102</v>
      </c>
      <c r="I177">
        <f t="shared" si="83"/>
        <v>0.36232250791275988</v>
      </c>
      <c r="J177">
        <f t="shared" si="84"/>
        <v>0.25694452141603547</v>
      </c>
      <c r="K177">
        <f t="shared" si="85"/>
        <v>0.60078212070021708</v>
      </c>
      <c r="L177">
        <f t="shared" si="76"/>
        <v>0.24849220241501269</v>
      </c>
      <c r="M177">
        <f t="shared" si="86"/>
        <v>-1.0060311903399493</v>
      </c>
      <c r="N177">
        <f t="shared" si="77"/>
        <v>-1.8796681845302639</v>
      </c>
      <c r="O177">
        <f t="shared" si="87"/>
        <v>-0.53200879188679984</v>
      </c>
    </row>
    <row r="178" spans="1:15" x14ac:dyDescent="0.25">
      <c r="A178">
        <f t="shared" si="78"/>
        <v>78</v>
      </c>
      <c r="B178">
        <f t="shared" si="79"/>
        <v>1.3613568165555769</v>
      </c>
      <c r="C178">
        <f t="shared" si="75"/>
        <v>0.82632957316585598</v>
      </c>
      <c r="D178">
        <f t="shared" si="80"/>
        <v>0.14556330356181438</v>
      </c>
      <c r="E178">
        <f t="shared" si="81"/>
        <v>0.97814760073380558</v>
      </c>
      <c r="H178">
        <f t="shared" si="82"/>
        <v>0.17669437713012118</v>
      </c>
      <c r="I178">
        <f t="shared" si="83"/>
        <v>0.39072237542876659</v>
      </c>
      <c r="J178">
        <f t="shared" si="84"/>
        <v>0.2837083762794439</v>
      </c>
      <c r="K178">
        <f t="shared" si="85"/>
        <v>0.58260465955227003</v>
      </c>
      <c r="L178">
        <f t="shared" si="76"/>
        <v>0.2307102358304926</v>
      </c>
      <c r="M178">
        <f t="shared" si="86"/>
        <v>-1.0771590566780296</v>
      </c>
      <c r="N178">
        <f t="shared" si="77"/>
        <v>-2.2732929412614746</v>
      </c>
      <c r="O178">
        <f t="shared" si="87"/>
        <v>-0.4398905138222482</v>
      </c>
    </row>
    <row r="179" spans="1:15" x14ac:dyDescent="0.25">
      <c r="A179">
        <f t="shared" si="78"/>
        <v>79</v>
      </c>
      <c r="B179">
        <f t="shared" si="79"/>
        <v>1.3788101090755203</v>
      </c>
      <c r="C179">
        <f t="shared" si="75"/>
        <v>0.83019884392323684</v>
      </c>
      <c r="D179">
        <f t="shared" si="80"/>
        <v>0.14774999177932763</v>
      </c>
      <c r="E179">
        <f t="shared" si="81"/>
        <v>0.98162718344766398</v>
      </c>
      <c r="H179">
        <f t="shared" si="82"/>
        <v>0.20554118124087106</v>
      </c>
      <c r="I179">
        <f t="shared" si="83"/>
        <v>0.42160630493775386</v>
      </c>
      <c r="J179">
        <f t="shared" si="84"/>
        <v>0.31357374308931246</v>
      </c>
      <c r="K179">
        <f t="shared" si="85"/>
        <v>0.56317515754190683</v>
      </c>
      <c r="L179">
        <f t="shared" si="76"/>
        <v>0.21262670964792832</v>
      </c>
      <c r="M179">
        <f t="shared" si="86"/>
        <v>-1.1494931614082868</v>
      </c>
      <c r="N179">
        <f t="shared" si="77"/>
        <v>-2.8108402655334559</v>
      </c>
      <c r="O179">
        <f t="shared" si="87"/>
        <v>-0.35576550267263757</v>
      </c>
    </row>
    <row r="180" spans="1:15" x14ac:dyDescent="0.25">
      <c r="A180">
        <f t="shared" si="78"/>
        <v>80</v>
      </c>
      <c r="B180">
        <f t="shared" si="79"/>
        <v>1.3962634015954636</v>
      </c>
      <c r="C180">
        <f t="shared" si="75"/>
        <v>0.83374999471391142</v>
      </c>
      <c r="D180">
        <f t="shared" si="80"/>
        <v>0.14796616260297613</v>
      </c>
      <c r="E180">
        <f t="shared" si="81"/>
        <v>0.98480775301220802</v>
      </c>
      <c r="H180">
        <f t="shared" si="82"/>
        <v>0.2386418996632749</v>
      </c>
      <c r="I180">
        <f t="shared" si="83"/>
        <v>0.4551902928612323</v>
      </c>
      <c r="J180">
        <f t="shared" si="84"/>
        <v>0.34691609626225361</v>
      </c>
      <c r="K180">
        <f t="shared" si="85"/>
        <v>0.54247317566471853</v>
      </c>
      <c r="L180">
        <f t="shared" si="76"/>
        <v>0.1942594923231088</v>
      </c>
      <c r="M180">
        <f t="shared" si="86"/>
        <v>-1.2229620307075648</v>
      </c>
      <c r="N180">
        <f t="shared" si="77"/>
        <v>-3.5878445580410685</v>
      </c>
      <c r="O180">
        <f t="shared" si="87"/>
        <v>-0.27871887530879852</v>
      </c>
    </row>
    <row r="181" spans="1:15" x14ac:dyDescent="0.25">
      <c r="A181">
        <f t="shared" si="78"/>
        <v>81</v>
      </c>
      <c r="B181">
        <f t="shared" si="79"/>
        <v>1.4137166941154069</v>
      </c>
      <c r="C181">
        <f t="shared" si="75"/>
        <v>0.83697824236510876</v>
      </c>
      <c r="D181">
        <f t="shared" si="80"/>
        <v>0.1456961686157825</v>
      </c>
      <c r="E181">
        <f t="shared" si="81"/>
        <v>0.98768834059513777</v>
      </c>
      <c r="H181">
        <f t="shared" si="82"/>
        <v>0.27661156543266052</v>
      </c>
      <c r="I181">
        <f t="shared" si="83"/>
        <v>0.49170699817616453</v>
      </c>
      <c r="J181">
        <f t="shared" si="84"/>
        <v>0.3841592818044125</v>
      </c>
      <c r="K181">
        <f t="shared" si="85"/>
        <v>0.52047958122962124</v>
      </c>
      <c r="L181">
        <f t="shared" si="76"/>
        <v>0.1756281301013474</v>
      </c>
      <c r="M181">
        <f t="shared" si="86"/>
        <v>-1.2974874795946105</v>
      </c>
      <c r="N181">
        <f t="shared" si="77"/>
        <v>-4.806952313506109</v>
      </c>
      <c r="O181">
        <f t="shared" si="87"/>
        <v>-0.20803202003695706</v>
      </c>
    </row>
    <row r="182" spans="1:15" x14ac:dyDescent="0.25">
      <c r="A182">
        <f t="shared" si="78"/>
        <v>82</v>
      </c>
      <c r="B182">
        <f t="shared" si="79"/>
        <v>1.4311699866353502</v>
      </c>
      <c r="C182">
        <f t="shared" si="75"/>
        <v>0.83987915906224808</v>
      </c>
      <c r="D182">
        <f t="shared" si="80"/>
        <v>0.14039146736046229</v>
      </c>
      <c r="E182">
        <f t="shared" si="81"/>
        <v>0.99026806874157036</v>
      </c>
      <c r="H182">
        <f t="shared" si="82"/>
        <v>0.32015816971703526</v>
      </c>
      <c r="I182">
        <f t="shared" si="83"/>
        <v>0.53140659650006439</v>
      </c>
      <c r="J182">
        <f t="shared" si="84"/>
        <v>0.42578238310854982</v>
      </c>
      <c r="K182">
        <f t="shared" si="85"/>
        <v>0.49717666297829188</v>
      </c>
      <c r="L182">
        <f t="shared" si="76"/>
        <v>0.15675378578722962</v>
      </c>
      <c r="M182">
        <f t="shared" si="86"/>
        <v>-1.3729848568510814</v>
      </c>
      <c r="N182">
        <f t="shared" si="77"/>
        <v>-6.9863487168679672</v>
      </c>
      <c r="O182">
        <f t="shared" si="87"/>
        <v>-0.14313628485013666</v>
      </c>
    </row>
    <row r="183" spans="1:15" x14ac:dyDescent="0.25">
      <c r="A183">
        <f t="shared" si="78"/>
        <v>83</v>
      </c>
      <c r="B183">
        <f t="shared" si="79"/>
        <v>1.4486232791552935</v>
      </c>
      <c r="C183">
        <f t="shared" si="75"/>
        <v>0.84244869987201831</v>
      </c>
      <c r="D183">
        <f t="shared" si="80"/>
        <v>0.13151400289703807</v>
      </c>
      <c r="E183">
        <f t="shared" si="81"/>
        <v>0.99254615164132198</v>
      </c>
      <c r="H183">
        <f t="shared" si="82"/>
        <v>0.37009782543406267</v>
      </c>
      <c r="I183">
        <f t="shared" si="83"/>
        <v>0.57455760887369389</v>
      </c>
      <c r="J183">
        <f t="shared" si="84"/>
        <v>0.47232771715387828</v>
      </c>
      <c r="K183">
        <f t="shared" si="85"/>
        <v>0.47254824117748617</v>
      </c>
      <c r="L183">
        <f t="shared" si="76"/>
        <v>0.13765915593681732</v>
      </c>
      <c r="M183">
        <f t="shared" si="86"/>
        <v>-1.4493633762527307</v>
      </c>
      <c r="N183">
        <f t="shared" si="77"/>
        <v>-11.964887207829969</v>
      </c>
      <c r="O183">
        <f t="shared" si="87"/>
        <v>-8.3577887750215282E-2</v>
      </c>
    </row>
    <row r="184" spans="1:15" x14ac:dyDescent="0.25">
      <c r="A184">
        <f t="shared" si="78"/>
        <v>84</v>
      </c>
      <c r="B184">
        <f t="shared" si="79"/>
        <v>1.4660765716752369</v>
      </c>
      <c r="C184">
        <f t="shared" si="75"/>
        <v>0.84468322863235112</v>
      </c>
      <c r="D184">
        <f t="shared" si="80"/>
        <v>0.11861407041426068</v>
      </c>
      <c r="E184">
        <f t="shared" si="81"/>
        <v>0.99452189536827329</v>
      </c>
      <c r="H184">
        <f t="shared" si="82"/>
        <v>0.42737267510260735</v>
      </c>
      <c r="I184">
        <f t="shared" si="83"/>
        <v>0.62144769308309988</v>
      </c>
      <c r="J184">
        <f t="shared" si="84"/>
        <v>0.52441018409285367</v>
      </c>
      <c r="K184">
        <f t="shared" si="85"/>
        <v>0.44657977117893077</v>
      </c>
      <c r="L184">
        <f t="shared" si="76"/>
        <v>0.11836836658499612</v>
      </c>
      <c r="M184">
        <f t="shared" si="86"/>
        <v>-1.5265265336600156</v>
      </c>
      <c r="N184">
        <f t="shared" si="77"/>
        <v>-34.493616475646299</v>
      </c>
      <c r="O184">
        <f t="shared" si="87"/>
        <v>-2.8990871418369108E-2</v>
      </c>
    </row>
    <row r="185" spans="1:15" x14ac:dyDescent="0.25">
      <c r="A185">
        <f t="shared" si="78"/>
        <v>85</v>
      </c>
      <c r="B185">
        <f t="shared" si="79"/>
        <v>1.4835298641951802</v>
      </c>
      <c r="C185">
        <f t="shared" si="75"/>
        <v>0.84657954183926398</v>
      </c>
      <c r="D185">
        <f t="shared" si="80"/>
        <v>0.10146214653148403</v>
      </c>
      <c r="E185">
        <f t="shared" si="81"/>
        <v>0.99619469809174555</v>
      </c>
      <c r="H185">
        <f t="shared" si="82"/>
        <v>0.49307210546084052</v>
      </c>
      <c r="I185">
        <f t="shared" si="83"/>
        <v>0.67238438432337144</v>
      </c>
      <c r="J185">
        <f t="shared" si="84"/>
        <v>0.58272824489210595</v>
      </c>
      <c r="K185">
        <f t="shared" si="85"/>
        <v>0.41925843896669557</v>
      </c>
      <c r="L185">
        <f t="shared" si="76"/>
        <v>9.8906848121689039E-2</v>
      </c>
      <c r="M185">
        <f t="shared" si="86"/>
        <v>-1.6043726075132438</v>
      </c>
      <c r="N185">
        <f t="shared" si="77"/>
        <v>47.791895514476643</v>
      </c>
      <c r="O185">
        <f t="shared" si="87"/>
        <v>2.0924049762727867E-2</v>
      </c>
    </row>
    <row r="186" spans="1:15" x14ac:dyDescent="0.25">
      <c r="A186">
        <f t="shared" si="78"/>
        <v>86</v>
      </c>
      <c r="B186">
        <f t="shared" si="79"/>
        <v>1.5009831567151235</v>
      </c>
      <c r="C186">
        <f t="shared" si="75"/>
        <v>0.84813489017576926</v>
      </c>
      <c r="D186">
        <f t="shared" si="80"/>
        <v>8.0264249732685089E-2</v>
      </c>
      <c r="E186">
        <f t="shared" si="81"/>
        <v>0.9975640502598242</v>
      </c>
      <c r="H186">
        <f t="shared" si="82"/>
        <v>0.56845796265356618</v>
      </c>
      <c r="I186">
        <f t="shared" si="83"/>
        <v>0.72769577107676553</v>
      </c>
      <c r="J186">
        <f t="shared" si="84"/>
        <v>0.64807686686516586</v>
      </c>
      <c r="K186">
        <f t="shared" si="85"/>
        <v>0.39057324727283005</v>
      </c>
      <c r="L186">
        <f t="shared" si="76"/>
        <v>7.9301190447956138E-2</v>
      </c>
      <c r="M186">
        <f t="shared" si="86"/>
        <v>-1.6827952382081754</v>
      </c>
      <c r="N186">
        <f t="shared" si="77"/>
        <v>15.056561423542568</v>
      </c>
      <c r="O186">
        <f t="shared" si="87"/>
        <v>6.641622691064053E-2</v>
      </c>
    </row>
    <row r="187" spans="1:15" x14ac:dyDescent="0.25">
      <c r="A187">
        <f t="shared" si="78"/>
        <v>87</v>
      </c>
      <c r="B187">
        <f t="shared" si="79"/>
        <v>1.5184364492350666</v>
      </c>
      <c r="C187">
        <f t="shared" si="75"/>
        <v>0.8493469973522918</v>
      </c>
      <c r="D187">
        <f t="shared" si="80"/>
        <v>5.600564295675442E-2</v>
      </c>
      <c r="E187">
        <f t="shared" si="81"/>
        <v>0.99862953475457383</v>
      </c>
      <c r="H187">
        <f t="shared" si="82"/>
        <v>0.65499462765196836</v>
      </c>
      <c r="I187">
        <f t="shared" si="83"/>
        <v>0.78773109129108498</v>
      </c>
      <c r="J187">
        <f t="shared" si="84"/>
        <v>0.72136285947152667</v>
      </c>
      <c r="K187">
        <f t="shared" si="85"/>
        <v>0.360515090939034</v>
      </c>
      <c r="L187">
        <f t="shared" si="76"/>
        <v>5.9578980057761334E-2</v>
      </c>
      <c r="M187">
        <f t="shared" si="86"/>
        <v>-1.7616840797689546</v>
      </c>
      <c r="N187">
        <f t="shared" si="77"/>
        <v>9.285187006471217</v>
      </c>
      <c r="O187">
        <f t="shared" si="87"/>
        <v>0.10769842323079332</v>
      </c>
    </row>
    <row r="188" spans="1:15" x14ac:dyDescent="0.25">
      <c r="A188">
        <f t="shared" si="78"/>
        <v>88</v>
      </c>
      <c r="B188">
        <f t="shared" si="79"/>
        <v>1.5358897417550099</v>
      </c>
      <c r="C188">
        <f t="shared" si="75"/>
        <v>0.85021407596110399</v>
      </c>
      <c r="D188">
        <f t="shared" si="80"/>
        <v>3.0990822606557757E-2</v>
      </c>
      <c r="E188">
        <f t="shared" si="81"/>
        <v>0.99939082701909576</v>
      </c>
      <c r="H188">
        <f t="shared" ref="H188" si="88">(TAN(B188-C188)/TAN(B188+C188))^2</f>
        <v>0.75438502221239523</v>
      </c>
      <c r="I188">
        <f t="shared" ref="I188" si="89">(SIN(B188-C188)/SIN(B188+C188))^2</f>
        <v>0.85286123333319397</v>
      </c>
      <c r="J188">
        <f t="shared" si="84"/>
        <v>0.80362312777279454</v>
      </c>
      <c r="K188">
        <f t="shared" ref="K188" si="90">4*C188-2*B188</f>
        <v>0.32907682033439611</v>
      </c>
      <c r="L188">
        <f t="shared" si="76"/>
        <v>3.9768621183278119E-2</v>
      </c>
      <c r="M188">
        <f t="shared" si="86"/>
        <v>-1.8409255152668875</v>
      </c>
      <c r="N188">
        <f t="shared" si="77"/>
        <v>6.8985741807395726</v>
      </c>
      <c r="O188">
        <f t="shared" si="87"/>
        <v>0.14495749031617913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21506" r:id="rId3">
          <objectPr defaultSize="0" autoPict="0" r:id="rId4">
            <anchor moveWithCells="1">
              <from>
                <xdr:col>1</xdr:col>
                <xdr:colOff>66675</xdr:colOff>
                <xdr:row>3</xdr:row>
                <xdr:rowOff>47625</xdr:rowOff>
              </from>
              <to>
                <xdr:col>2</xdr:col>
                <xdr:colOff>219075</xdr:colOff>
                <xdr:row>5</xdr:row>
                <xdr:rowOff>133350</xdr:rowOff>
              </to>
            </anchor>
          </objectPr>
        </oleObject>
      </mc:Choice>
      <mc:Fallback>
        <oleObject progId="Equation.3" shapeId="21506" r:id="rId3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5" name="Spinner 1">
              <controlPr defaultSize="0" autoPict="0">
                <anchor moveWithCells="1" sizeWithCells="1">
                  <from>
                    <xdr:col>3</xdr:col>
                    <xdr:colOff>0</xdr:colOff>
                    <xdr:row>16</xdr:row>
                    <xdr:rowOff>57150</xdr:rowOff>
                  </from>
                  <to>
                    <xdr:col>3</xdr:col>
                    <xdr:colOff>57150</xdr:colOff>
                    <xdr:row>29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Φύλλο2"/>
  <dimension ref="L1:BA26"/>
  <sheetViews>
    <sheetView zoomScale="70" zoomScaleNormal="70" workbookViewId="0">
      <selection activeCell="R33" sqref="R33"/>
    </sheetView>
  </sheetViews>
  <sheetFormatPr defaultRowHeight="15" x14ac:dyDescent="0.25"/>
  <cols>
    <col min="12" max="12" width="9.5703125" bestFit="1" customWidth="1"/>
  </cols>
  <sheetData>
    <row r="1" spans="12:53" ht="15.75" x14ac:dyDescent="0.25">
      <c r="L1" s="16">
        <f>SQRT((4-Index_of_ref^2)/3)</f>
        <v>0.86238042649401536</v>
      </c>
      <c r="M1" s="16"/>
      <c r="O1" t="s">
        <v>115</v>
      </c>
      <c r="Q1" t="s">
        <v>153</v>
      </c>
      <c r="R1">
        <v>1.33</v>
      </c>
      <c r="T1" t="s">
        <v>154</v>
      </c>
      <c r="U1">
        <v>50</v>
      </c>
    </row>
    <row r="2" spans="12:53" x14ac:dyDescent="0.25">
      <c r="O2">
        <f t="shared" ref="O2:AY2" si="0">ASIN(SIN(RADIANS(O4))/Index_of_ref)</f>
        <v>0.74972077324328434</v>
      </c>
      <c r="P2">
        <f t="shared" si="0"/>
        <v>0.74202916534997254</v>
      </c>
      <c r="Q2">
        <f t="shared" si="0"/>
        <v>0.74202916534997254</v>
      </c>
      <c r="R2">
        <f t="shared" si="0"/>
        <v>0.73411411713322383</v>
      </c>
      <c r="S2">
        <f t="shared" si="0"/>
        <v>0.73411411713322383</v>
      </c>
      <c r="T2">
        <f t="shared" si="0"/>
        <v>0.72598229595825714</v>
      </c>
      <c r="U2">
        <f t="shared" si="0"/>
        <v>0.72598229595825714</v>
      </c>
      <c r="V2">
        <f t="shared" si="0"/>
        <v>0.71764030067489315</v>
      </c>
      <c r="W2">
        <f t="shared" si="0"/>
        <v>0.71764030067489315</v>
      </c>
      <c r="X2">
        <f t="shared" si="0"/>
        <v>0.70909464879879069</v>
      </c>
      <c r="Y2">
        <f t="shared" si="0"/>
        <v>0.70909464879879069</v>
      </c>
      <c r="Z2">
        <f t="shared" si="0"/>
        <v>0.70035176522282638</v>
      </c>
      <c r="AA2">
        <f t="shared" si="0"/>
        <v>0.70035176522282638</v>
      </c>
      <c r="AB2">
        <f t="shared" si="0"/>
        <v>0.69141797239083758</v>
      </c>
      <c r="AC2">
        <f t="shared" si="0"/>
        <v>0.69141797239083758</v>
      </c>
      <c r="AD2">
        <f t="shared" si="0"/>
        <v>0.6822994818577639</v>
      </c>
      <c r="AE2">
        <f t="shared" si="0"/>
        <v>0.6822994818577639</v>
      </c>
      <c r="AF2">
        <f t="shared" si="0"/>
        <v>0.67300238715431693</v>
      </c>
      <c r="AG2">
        <f t="shared" si="0"/>
        <v>0.67300238715431693</v>
      </c>
      <c r="AH2">
        <f t="shared" si="0"/>
        <v>0.66353265787048266</v>
      </c>
      <c r="AI2">
        <f t="shared" si="0"/>
        <v>0.66353265787048266</v>
      </c>
      <c r="AJ2">
        <f t="shared" si="0"/>
        <v>0.65389613487010845</v>
      </c>
      <c r="AK2">
        <f t="shared" si="0"/>
        <v>0.65389613487010845</v>
      </c>
      <c r="AL2">
        <f t="shared" si="0"/>
        <v>0.64409852654834232</v>
      </c>
      <c r="AM2">
        <f t="shared" si="0"/>
        <v>0.64409852654834232</v>
      </c>
      <c r="AN2">
        <f t="shared" si="0"/>
        <v>0.63414540604449754</v>
      </c>
      <c r="AO2">
        <f t="shared" si="0"/>
        <v>0.63414540604449754</v>
      </c>
      <c r="AP2">
        <f t="shared" si="0"/>
        <v>0.62404220932479948</v>
      </c>
      <c r="AQ2">
        <f t="shared" si="0"/>
        <v>0.62404220932479948</v>
      </c>
      <c r="AR2">
        <f t="shared" si="0"/>
        <v>0.61379423405223421</v>
      </c>
      <c r="AS2">
        <f t="shared" si="0"/>
        <v>0.61379423405223421</v>
      </c>
      <c r="AT2">
        <f t="shared" si="0"/>
        <v>0.60340663916412951</v>
      </c>
      <c r="AU2">
        <f t="shared" si="0"/>
        <v>0.60340663916412951</v>
      </c>
      <c r="AV2">
        <f t="shared" si="0"/>
        <v>0.5928844450820423</v>
      </c>
      <c r="AW2">
        <f t="shared" si="0"/>
        <v>0.5928844450820423</v>
      </c>
      <c r="AX2">
        <f t="shared" si="0"/>
        <v>0.58223253448280166</v>
      </c>
      <c r="AY2">
        <f t="shared" si="0"/>
        <v>0.58223253448280166</v>
      </c>
      <c r="AZ2">
        <f t="shared" ref="AZ2:BA2" si="1">ASIN(SIN(RADIANS(AZ4))/Index_of_ref)</f>
        <v>0.57145565356407579</v>
      </c>
      <c r="BA2">
        <f t="shared" si="1"/>
        <v>0.57145565356407579</v>
      </c>
    </row>
    <row r="3" spans="12:53" ht="15.75" x14ac:dyDescent="0.25">
      <c r="L3" s="17" t="s">
        <v>158</v>
      </c>
      <c r="M3" s="16"/>
      <c r="O3" t="s">
        <v>116</v>
      </c>
      <c r="P3">
        <v>1</v>
      </c>
      <c r="R3">
        <f>P3+1</f>
        <v>2</v>
      </c>
      <c r="T3">
        <f t="shared" ref="T3" si="2">R3+1</f>
        <v>3</v>
      </c>
      <c r="V3">
        <f t="shared" ref="V3" si="3">T3+1</f>
        <v>4</v>
      </c>
      <c r="X3">
        <f t="shared" ref="X3" si="4">V3+1</f>
        <v>5</v>
      </c>
      <c r="Z3">
        <f t="shared" ref="Z3" si="5">X3+1</f>
        <v>6</v>
      </c>
      <c r="AB3">
        <f t="shared" ref="AB3" si="6">Z3+1</f>
        <v>7</v>
      </c>
      <c r="AD3">
        <f t="shared" ref="AD3" si="7">AB3+1</f>
        <v>8</v>
      </c>
      <c r="AF3">
        <f t="shared" ref="AF3" si="8">AD3+1</f>
        <v>9</v>
      </c>
      <c r="AH3">
        <f t="shared" ref="AH3" si="9">AF3+1</f>
        <v>10</v>
      </c>
      <c r="AJ3">
        <f t="shared" ref="AJ3" si="10">AH3+1</f>
        <v>11</v>
      </c>
      <c r="AL3">
        <f t="shared" ref="AL3" si="11">AJ3+1</f>
        <v>12</v>
      </c>
      <c r="AN3">
        <f t="shared" ref="AN3" si="12">AL3+1</f>
        <v>13</v>
      </c>
      <c r="AP3">
        <f t="shared" ref="AP3" si="13">AN3+1</f>
        <v>14</v>
      </c>
      <c r="AR3">
        <f t="shared" ref="AR3" si="14">AP3+1</f>
        <v>15</v>
      </c>
      <c r="AT3">
        <f t="shared" ref="AT3" si="15">AR3+1</f>
        <v>16</v>
      </c>
      <c r="AV3">
        <f t="shared" ref="AV3" si="16">AT3+1</f>
        <v>17</v>
      </c>
      <c r="AX3">
        <f t="shared" ref="AX3" si="17">AV3+1</f>
        <v>18</v>
      </c>
      <c r="AZ3">
        <f t="shared" ref="AZ3" si="18">AX3+1</f>
        <v>19</v>
      </c>
    </row>
    <row r="4" spans="12:53" ht="15.75" x14ac:dyDescent="0.25">
      <c r="L4" s="16">
        <f>ASIN(SIN(RADIANS(L6))/Index_of_ref)</f>
        <v>0.70548920441426477</v>
      </c>
      <c r="M4" s="16"/>
      <c r="N4" t="s">
        <v>117</v>
      </c>
      <c r="O4">
        <f>CEILING(Al_Farisi_in_degrees,2)+5</f>
        <v>65</v>
      </c>
      <c r="P4">
        <f>O4-1</f>
        <v>64</v>
      </c>
      <c r="Q4">
        <f>P4</f>
        <v>64</v>
      </c>
      <c r="R4">
        <f t="shared" ref="R4" si="19">Q4-1</f>
        <v>63</v>
      </c>
      <c r="S4">
        <f t="shared" ref="S4" si="20">R4</f>
        <v>63</v>
      </c>
      <c r="T4">
        <f t="shared" ref="T4" si="21">S4-1</f>
        <v>62</v>
      </c>
      <c r="U4">
        <f t="shared" ref="U4" si="22">T4</f>
        <v>62</v>
      </c>
      <c r="V4">
        <f t="shared" ref="V4" si="23">U4-1</f>
        <v>61</v>
      </c>
      <c r="W4">
        <f t="shared" ref="W4" si="24">V4</f>
        <v>61</v>
      </c>
      <c r="X4">
        <f t="shared" ref="X4" si="25">W4-1</f>
        <v>60</v>
      </c>
      <c r="Y4">
        <f t="shared" ref="Y4" si="26">X4</f>
        <v>60</v>
      </c>
      <c r="Z4">
        <f t="shared" ref="Z4" si="27">Y4-1</f>
        <v>59</v>
      </c>
      <c r="AA4">
        <f t="shared" ref="AA4" si="28">Z4</f>
        <v>59</v>
      </c>
      <c r="AB4">
        <f t="shared" ref="AB4" si="29">AA4-1</f>
        <v>58</v>
      </c>
      <c r="AC4">
        <f t="shared" ref="AC4" si="30">AB4</f>
        <v>58</v>
      </c>
      <c r="AD4">
        <f t="shared" ref="AD4" si="31">AC4-1</f>
        <v>57</v>
      </c>
      <c r="AE4">
        <f t="shared" ref="AE4" si="32">AD4</f>
        <v>57</v>
      </c>
      <c r="AF4">
        <f t="shared" ref="AF4" si="33">AE4-1</f>
        <v>56</v>
      </c>
      <c r="AG4">
        <f t="shared" ref="AG4" si="34">AF4</f>
        <v>56</v>
      </c>
      <c r="AH4">
        <f t="shared" ref="AH4" si="35">AG4-1</f>
        <v>55</v>
      </c>
      <c r="AI4">
        <f t="shared" ref="AI4" si="36">AH4</f>
        <v>55</v>
      </c>
      <c r="AJ4">
        <f t="shared" ref="AJ4" si="37">AI4-1</f>
        <v>54</v>
      </c>
      <c r="AK4">
        <f t="shared" ref="AK4" si="38">AJ4</f>
        <v>54</v>
      </c>
      <c r="AL4">
        <f t="shared" ref="AL4" si="39">AK4-1</f>
        <v>53</v>
      </c>
      <c r="AM4">
        <f t="shared" ref="AM4" si="40">AL4</f>
        <v>53</v>
      </c>
      <c r="AN4">
        <f t="shared" ref="AN4" si="41">AM4-1</f>
        <v>52</v>
      </c>
      <c r="AO4">
        <f t="shared" ref="AO4" si="42">AN4</f>
        <v>52</v>
      </c>
      <c r="AP4">
        <f t="shared" ref="AP4" si="43">AO4-1</f>
        <v>51</v>
      </c>
      <c r="AQ4">
        <f t="shared" ref="AQ4" si="44">AP4</f>
        <v>51</v>
      </c>
      <c r="AR4">
        <f t="shared" ref="AR4" si="45">AQ4-1</f>
        <v>50</v>
      </c>
      <c r="AS4">
        <f t="shared" ref="AS4" si="46">AR4</f>
        <v>50</v>
      </c>
      <c r="AT4">
        <f t="shared" ref="AT4" si="47">AS4-1</f>
        <v>49</v>
      </c>
      <c r="AU4">
        <f t="shared" ref="AU4" si="48">AT4</f>
        <v>49</v>
      </c>
      <c r="AV4">
        <f t="shared" ref="AV4" si="49">AU4-1</f>
        <v>48</v>
      </c>
      <c r="AW4">
        <f t="shared" ref="AW4" si="50">AV4</f>
        <v>48</v>
      </c>
      <c r="AX4">
        <f t="shared" ref="AX4" si="51">AW4-1</f>
        <v>47</v>
      </c>
      <c r="AY4">
        <f t="shared" ref="AY4" si="52">AX4</f>
        <v>47</v>
      </c>
      <c r="AZ4">
        <f t="shared" ref="AZ4" si="53">AY4-1</f>
        <v>46</v>
      </c>
      <c r="BA4">
        <f t="shared" ref="BA4" si="54">AZ4</f>
        <v>46</v>
      </c>
    </row>
    <row r="5" spans="12:53" ht="15.75" x14ac:dyDescent="0.25">
      <c r="L5" s="17" t="s">
        <v>159</v>
      </c>
      <c r="M5" s="16"/>
      <c r="N5" t="s">
        <v>118</v>
      </c>
      <c r="O5">
        <f>RADIANS(O4)</f>
        <v>1.1344640137963142</v>
      </c>
      <c r="P5">
        <f t="shared" ref="P5:AY5" si="55">RADIANS(P4)</f>
        <v>1.1170107212763709</v>
      </c>
      <c r="Q5">
        <f t="shared" si="55"/>
        <v>1.1170107212763709</v>
      </c>
      <c r="R5">
        <f t="shared" si="55"/>
        <v>1.0995574287564276</v>
      </c>
      <c r="S5">
        <f t="shared" si="55"/>
        <v>1.0995574287564276</v>
      </c>
      <c r="T5">
        <f t="shared" si="55"/>
        <v>1.0821041362364843</v>
      </c>
      <c r="U5">
        <f t="shared" si="55"/>
        <v>1.0821041362364843</v>
      </c>
      <c r="V5">
        <f t="shared" si="55"/>
        <v>1.064650843716541</v>
      </c>
      <c r="W5">
        <f t="shared" si="55"/>
        <v>1.064650843716541</v>
      </c>
      <c r="X5">
        <f t="shared" si="55"/>
        <v>1.0471975511965976</v>
      </c>
      <c r="Y5">
        <f t="shared" si="55"/>
        <v>1.0471975511965976</v>
      </c>
      <c r="Z5">
        <f t="shared" si="55"/>
        <v>1.0297442586766545</v>
      </c>
      <c r="AA5">
        <f t="shared" si="55"/>
        <v>1.0297442586766545</v>
      </c>
      <c r="AB5">
        <f t="shared" si="55"/>
        <v>1.0122909661567112</v>
      </c>
      <c r="AC5">
        <f t="shared" si="55"/>
        <v>1.0122909661567112</v>
      </c>
      <c r="AD5">
        <f t="shared" si="55"/>
        <v>0.99483767363676789</v>
      </c>
      <c r="AE5">
        <f t="shared" si="55"/>
        <v>0.99483767363676789</v>
      </c>
      <c r="AF5">
        <f t="shared" si="55"/>
        <v>0.97738438111682457</v>
      </c>
      <c r="AG5">
        <f t="shared" si="55"/>
        <v>0.97738438111682457</v>
      </c>
      <c r="AH5">
        <f t="shared" si="55"/>
        <v>0.95993108859688125</v>
      </c>
      <c r="AI5">
        <f t="shared" si="55"/>
        <v>0.95993108859688125</v>
      </c>
      <c r="AJ5">
        <f t="shared" si="55"/>
        <v>0.94247779607693793</v>
      </c>
      <c r="AK5">
        <f t="shared" si="55"/>
        <v>0.94247779607693793</v>
      </c>
      <c r="AL5">
        <f t="shared" si="55"/>
        <v>0.92502450355699462</v>
      </c>
      <c r="AM5">
        <f t="shared" si="55"/>
        <v>0.92502450355699462</v>
      </c>
      <c r="AN5">
        <f t="shared" si="55"/>
        <v>0.90757121103705141</v>
      </c>
      <c r="AO5">
        <f t="shared" si="55"/>
        <v>0.90757121103705141</v>
      </c>
      <c r="AP5">
        <f t="shared" si="55"/>
        <v>0.89011791851710809</v>
      </c>
      <c r="AQ5">
        <f t="shared" si="55"/>
        <v>0.89011791851710809</v>
      </c>
      <c r="AR5">
        <f t="shared" si="55"/>
        <v>0.87266462599716477</v>
      </c>
      <c r="AS5">
        <f t="shared" si="55"/>
        <v>0.87266462599716477</v>
      </c>
      <c r="AT5">
        <f t="shared" si="55"/>
        <v>0.85521133347722145</v>
      </c>
      <c r="AU5">
        <f t="shared" si="55"/>
        <v>0.85521133347722145</v>
      </c>
      <c r="AV5">
        <f t="shared" si="55"/>
        <v>0.83775804095727824</v>
      </c>
      <c r="AW5">
        <f t="shared" si="55"/>
        <v>0.83775804095727824</v>
      </c>
      <c r="AX5">
        <f t="shared" si="55"/>
        <v>0.82030474843733492</v>
      </c>
      <c r="AY5">
        <f t="shared" si="55"/>
        <v>0.82030474843733492</v>
      </c>
      <c r="AZ5">
        <f t="shared" ref="AZ5:BA5" si="56">RADIANS(AZ4)</f>
        <v>0.8028514559173916</v>
      </c>
      <c r="BA5">
        <f t="shared" si="56"/>
        <v>0.8028514559173916</v>
      </c>
    </row>
    <row r="6" spans="12:53" ht="15.75" x14ac:dyDescent="0.25">
      <c r="L6" s="16">
        <f>DEGREES(ASIN(L1))</f>
        <v>59.584916949416929</v>
      </c>
      <c r="M6" s="16"/>
      <c r="P6" t="s">
        <v>119</v>
      </c>
      <c r="Q6" t="s">
        <v>120</v>
      </c>
      <c r="R6" t="s">
        <v>121</v>
      </c>
      <c r="S6" t="s">
        <v>122</v>
      </c>
      <c r="T6" t="s">
        <v>123</v>
      </c>
      <c r="U6" t="s">
        <v>124</v>
      </c>
      <c r="V6" t="s">
        <v>125</v>
      </c>
      <c r="W6" t="s">
        <v>126</v>
      </c>
      <c r="X6" t="s">
        <v>127</v>
      </c>
      <c r="Y6" t="s">
        <v>128</v>
      </c>
      <c r="Z6" t="s">
        <v>129</v>
      </c>
      <c r="AA6" t="s">
        <v>130</v>
      </c>
      <c r="AB6" t="s">
        <v>131</v>
      </c>
      <c r="AC6" t="s">
        <v>132</v>
      </c>
      <c r="AD6" t="s">
        <v>133</v>
      </c>
      <c r="AE6" t="s">
        <v>134</v>
      </c>
      <c r="AF6" t="s">
        <v>135</v>
      </c>
      <c r="AG6" t="s">
        <v>136</v>
      </c>
      <c r="AH6" t="s">
        <v>137</v>
      </c>
      <c r="AI6" t="s">
        <v>138</v>
      </c>
      <c r="AJ6" t="s">
        <v>139</v>
      </c>
      <c r="AK6" t="s">
        <v>140</v>
      </c>
      <c r="AL6" t="s">
        <v>141</v>
      </c>
      <c r="AM6" t="s">
        <v>142</v>
      </c>
      <c r="AN6" t="s">
        <v>143</v>
      </c>
      <c r="AO6" t="s">
        <v>144</v>
      </c>
      <c r="AP6" t="s">
        <v>145</v>
      </c>
      <c r="AQ6" t="s">
        <v>146</v>
      </c>
      <c r="AR6" t="s">
        <v>147</v>
      </c>
      <c r="AS6" t="s">
        <v>148</v>
      </c>
      <c r="AT6" t="s">
        <v>149</v>
      </c>
      <c r="AU6" t="s">
        <v>150</v>
      </c>
      <c r="AV6" t="s">
        <v>151</v>
      </c>
      <c r="AW6" t="s">
        <v>152</v>
      </c>
    </row>
    <row r="7" spans="12:53" ht="15.75" x14ac:dyDescent="0.25">
      <c r="L7" s="16">
        <f>ASIN(L1)</f>
        <v>1.0399529852947009</v>
      </c>
      <c r="M7" s="16" t="s">
        <v>160</v>
      </c>
      <c r="P7">
        <v>-200</v>
      </c>
      <c r="Q7">
        <f>radius_rain*SIN(P5)</f>
        <v>44.939702314958353</v>
      </c>
      <c r="R7">
        <v>-200</v>
      </c>
      <c r="S7">
        <f>radius_rain*SIN(R5)</f>
        <v>44.550326209418387</v>
      </c>
      <c r="T7">
        <v>-200</v>
      </c>
      <c r="U7">
        <f>radius_rain*SIN(T5)</f>
        <v>44.147379642946341</v>
      </c>
      <c r="V7">
        <v>-200</v>
      </c>
      <c r="W7">
        <f>radius_rain*SIN(V5)</f>
        <v>43.730985356969789</v>
      </c>
      <c r="X7">
        <v>-200</v>
      </c>
      <c r="Y7">
        <f>radius_rain*SIN(X5)</f>
        <v>43.301270189221931</v>
      </c>
      <c r="Z7">
        <v>-200</v>
      </c>
      <c r="AA7">
        <f>radius_rain*SIN(Z5)</f>
        <v>42.858365035105614</v>
      </c>
      <c r="AB7">
        <v>-200</v>
      </c>
      <c r="AC7">
        <f>radius_rain*SIN(AB5)</f>
        <v>42.402404807821299</v>
      </c>
      <c r="AD7">
        <v>-200</v>
      </c>
      <c r="AE7">
        <f>radius_rain*SIN(AD5)</f>
        <v>41.933528397271203</v>
      </c>
      <c r="AF7">
        <v>-200</v>
      </c>
      <c r="AG7">
        <f>radius_rain*SIN(AF5)</f>
        <v>41.451878627752087</v>
      </c>
      <c r="AH7">
        <v>-200</v>
      </c>
      <c r="AI7">
        <f>radius_rain*SIN(AH5)</f>
        <v>40.957602214449587</v>
      </c>
      <c r="AJ7">
        <v>-200</v>
      </c>
      <c r="AK7">
        <f>radius_rain*SIN(AJ5)</f>
        <v>40.450849718747371</v>
      </c>
      <c r="AL7">
        <v>-200</v>
      </c>
      <c r="AM7">
        <f>radius_rain*SIN(AL5)</f>
        <v>39.931775502364644</v>
      </c>
      <c r="AN7">
        <v>-200</v>
      </c>
      <c r="AO7">
        <f>radius_rain*SIN(AN5)</f>
        <v>39.4005376803361</v>
      </c>
      <c r="AP7">
        <v>-200</v>
      </c>
      <c r="AQ7">
        <f>radius_rain*SIN(AP5)</f>
        <v>38.857298072848543</v>
      </c>
      <c r="AR7">
        <v>-200</v>
      </c>
      <c r="AS7">
        <f>radius_rain*SIN(AR5)</f>
        <v>38.302222155948904</v>
      </c>
      <c r="AT7">
        <v>-200</v>
      </c>
      <c r="AU7">
        <f>radius_rain*SIN(AT5)</f>
        <v>37.735479011138601</v>
      </c>
      <c r="AV7">
        <v>-200</v>
      </c>
      <c r="AW7">
        <f>radius_rain*SIN(AV5)</f>
        <v>37.157241273869715</v>
      </c>
      <c r="AX7">
        <v>-200</v>
      </c>
      <c r="AY7">
        <f>radius_rain*SIN(AX5)</f>
        <v>36.567685080958526</v>
      </c>
      <c r="AZ7">
        <v>-200</v>
      </c>
      <c r="BA7">
        <f>radius_rain*SIN(AZ5)</f>
        <v>35.966990016932556</v>
      </c>
    </row>
    <row r="8" spans="12:53" ht="16.5" thickBot="1" x14ac:dyDescent="0.3">
      <c r="L8" s="17" t="s">
        <v>161</v>
      </c>
      <c r="M8" s="16"/>
      <c r="P8">
        <f>-radius_rain*COS(P5)</f>
        <v>-21.918557339453873</v>
      </c>
      <c r="Q8">
        <f>radius_rain*SIN(P5)</f>
        <v>44.939702314958353</v>
      </c>
      <c r="R8">
        <f>-radius_rain*COS(R5)</f>
        <v>-22.699524986977341</v>
      </c>
      <c r="S8">
        <f>radius_rain*SIN(R5)</f>
        <v>44.550326209418387</v>
      </c>
      <c r="T8">
        <f>-radius_rain*COS(T5)</f>
        <v>-23.473578139294542</v>
      </c>
      <c r="U8">
        <f>radius_rain*SIN(T5)</f>
        <v>44.147379642946341</v>
      </c>
      <c r="V8">
        <f>-radius_rain*COS(V5)</f>
        <v>-24.240481012316856</v>
      </c>
      <c r="W8">
        <f>radius_rain*SIN(V5)</f>
        <v>43.730985356969789</v>
      </c>
      <c r="X8">
        <f>-radius_rain*COS(X5)</f>
        <v>-25.000000000000007</v>
      </c>
      <c r="Y8">
        <f>radius_rain*SIN(X5)</f>
        <v>43.301270189221931</v>
      </c>
      <c r="Z8">
        <f>-radius_rain*COS(Z5)</f>
        <v>-25.751903745502709</v>
      </c>
      <c r="AA8">
        <f>radius_rain*SIN(Z5)</f>
        <v>42.858365035105614</v>
      </c>
      <c r="AB8">
        <f>-radius_rain*COS(AB5)</f>
        <v>-26.495963211660246</v>
      </c>
      <c r="AC8">
        <f>radius_rain*SIN(AB5)</f>
        <v>42.402404807821299</v>
      </c>
      <c r="AD8">
        <f>-radius_rain*COS(AD5)</f>
        <v>-27.231951750751353</v>
      </c>
      <c r="AE8">
        <f>radius_rain*SIN(AD5)</f>
        <v>41.933528397271203</v>
      </c>
      <c r="AF8">
        <f>-radius_rain*COS(AF5)</f>
        <v>-27.959645173537339</v>
      </c>
      <c r="AG8">
        <f>radius_rain*SIN(AF5)</f>
        <v>41.451878627752087</v>
      </c>
      <c r="AH8">
        <f>-radius_rain*COS(AH5)</f>
        <v>-28.678821817552308</v>
      </c>
      <c r="AI8">
        <f>radius_rain*SIN(AH5)</f>
        <v>40.957602214449587</v>
      </c>
      <c r="AJ8">
        <f>-radius_rain*COS(AJ5)</f>
        <v>-29.389262614623657</v>
      </c>
      <c r="AK8">
        <f>radius_rain*SIN(AJ5)</f>
        <v>40.450849718747371</v>
      </c>
      <c r="AL8">
        <f>-radius_rain*COS(AL5)</f>
        <v>-30.090751157602419</v>
      </c>
      <c r="AM8">
        <f>radius_rain*SIN(AL5)</f>
        <v>39.931775502364644</v>
      </c>
      <c r="AN8">
        <f>-radius_rain*COS(AN5)</f>
        <v>-30.783073766282914</v>
      </c>
      <c r="AO8">
        <f>radius_rain*SIN(AN5)</f>
        <v>39.4005376803361</v>
      </c>
      <c r="AP8">
        <f>-radius_rain*COS(AP5)</f>
        <v>-31.466019552491876</v>
      </c>
      <c r="AQ8">
        <f>radius_rain*SIN(AP5)</f>
        <v>38.857298072848543</v>
      </c>
      <c r="AR8">
        <f>-radius_rain*COS(AR5)</f>
        <v>-32.139380484326971</v>
      </c>
      <c r="AS8">
        <f>radius_rain*SIN(AR5)</f>
        <v>38.302222155948904</v>
      </c>
      <c r="AT8">
        <f>-radius_rain*COS(AT5)</f>
        <v>-32.802951449525366</v>
      </c>
      <c r="AU8">
        <f>radius_rain*SIN(AT5)</f>
        <v>37.735479011138601</v>
      </c>
      <c r="AV8">
        <f>-radius_rain*COS(AV5)</f>
        <v>-33.456530317942914</v>
      </c>
      <c r="AW8">
        <f>radius_rain*SIN(AV5)</f>
        <v>37.157241273869715</v>
      </c>
      <c r="AX8">
        <f>-radius_rain*COS(AX5)</f>
        <v>-34.099918003124927</v>
      </c>
      <c r="AY8">
        <f>radius_rain*SIN(AX5)</f>
        <v>36.567685080958526</v>
      </c>
      <c r="AZ8">
        <f>-radius_rain*COS(AZ5)</f>
        <v>-34.732918522949859</v>
      </c>
      <c r="BA8">
        <f>radius_rain*SIN(AZ5)</f>
        <v>35.966990016932556</v>
      </c>
    </row>
    <row r="9" spans="12:53" ht="16.5" thickTop="1" x14ac:dyDescent="0.25">
      <c r="L9" s="18">
        <v>-200</v>
      </c>
      <c r="M9" s="19">
        <f>radius_rain*SIN(L7)</f>
        <v>43.119021324700768</v>
      </c>
      <c r="P9">
        <f>radius_rain*COS(2*P2-P5)</f>
        <v>46.669545534230252</v>
      </c>
      <c r="Q9">
        <f>radius_rain*SIN(2*P2-P5)</f>
        <v>17.943063273265484</v>
      </c>
      <c r="R9">
        <f>radius_rain*COS(2*R2-R5)</f>
        <v>46.640358955294325</v>
      </c>
      <c r="S9">
        <f>radius_rain*SIN(2*R2-R5)</f>
        <v>18.018793425790104</v>
      </c>
      <c r="T9">
        <f>radius_rain*COS(2*T2-T5)</f>
        <v>46.618889895399406</v>
      </c>
      <c r="U9">
        <f>radius_rain*SIN(2*T2-T5)</f>
        <v>18.074266372957638</v>
      </c>
      <c r="V9">
        <f>radius_rain*COS(2*V2-V5)</f>
        <v>46.604971533224152</v>
      </c>
      <c r="W9">
        <f>radius_rain*SIN(2*V2-V5)</f>
        <v>18.110125024067798</v>
      </c>
      <c r="X9">
        <f>radius_rain*COS(2*X2-X5)</f>
        <v>46.598412818064858</v>
      </c>
      <c r="Y9">
        <f>radius_rain*SIN(2*X2-X5)</f>
        <v>18.126994313377192</v>
      </c>
      <c r="Z9">
        <f>radius_rain*COS(2*Z2-Z5)</f>
        <v>46.599001460962697</v>
      </c>
      <c r="AA9">
        <f>radius_rain*SIN(2*Z2-Z5)</f>
        <v>18.125481037511705</v>
      </c>
      <c r="AB9">
        <f>radius_rain*COS(2*AB2-AB5)</f>
        <v>46.606506724175546</v>
      </c>
      <c r="AC9">
        <f>radius_rain*SIN(2*AB2-AB5)</f>
        <v>18.106173835721879</v>
      </c>
      <c r="AD9">
        <f>radius_rain*COS(2*AD2-AD5)</f>
        <v>46.620682011668052</v>
      </c>
      <c r="AE9">
        <f>radius_rain*SIN(2*AD2-AD5)</f>
        <v>18.069643293848685</v>
      </c>
      <c r="AF9">
        <f>radius_rain*COS(2*AF2-AF5)</f>
        <v>46.641267265175948</v>
      </c>
      <c r="AG9">
        <f>radius_rain*SIN(2*AF2-AF5)</f>
        <v>18.016442154277481</v>
      </c>
      <c r="AH9">
        <f>radius_rain*COS(2*AH2-AH5)</f>
        <v>46.667991171920356</v>
      </c>
      <c r="AI9">
        <f>radius_rain*SIN(2*AH2-AH5)</f>
        <v>17.947105615601757</v>
      </c>
      <c r="AJ9">
        <f>radius_rain*COS(2*AJ2-AJ5)</f>
        <v>46.700573191240707</v>
      </c>
      <c r="AK9">
        <f>radius_rain*SIN(2*AJ2-AJ5)</f>
        <v>17.862151707159178</v>
      </c>
      <c r="AL9">
        <f>radius_rain*COS(2*AL2-AL5)</f>
        <v>46.738725408313435</v>
      </c>
      <c r="AM9">
        <f>radius_rain*SIN(2*AL2-AL5)</f>
        <v>17.762081725019623</v>
      </c>
      <c r="AN9">
        <f>radius_rain*COS(2*AN2-AN5)</f>
        <v>46.782154223764202</v>
      </c>
      <c r="AO9">
        <f>radius_rain*SIN(2*AN2-AN5)</f>
        <v>17.647380717373931</v>
      </c>
      <c r="AP9">
        <f>radius_rain*COS(2*AP2-AP5)</f>
        <v>46.83056188839786</v>
      </c>
      <c r="AQ9">
        <f>radius_rain*SIN(2*AP2-AP5)</f>
        <v>17.518518008579882</v>
      </c>
      <c r="AR9">
        <f>radius_rain*COS(2*AR2-AR5)</f>
        <v>46.883647892493762</v>
      </c>
      <c r="AS9">
        <f>radius_rain*SIN(2*AR2-AR5)</f>
        <v>17.375947752357717</v>
      </c>
      <c r="AT9">
        <f>radius_rain*COS(2*AT2-AT5)</f>
        <v>46.941110219176899</v>
      </c>
      <c r="AU9">
        <f>radius_rain*SIN(2*AT2-AT5)</f>
        <v>17.220109505780925</v>
      </c>
      <c r="AV9">
        <f>radius_rain*COS(2*AV2-AV5)</f>
        <v>47.002646471303329</v>
      </c>
      <c r="AW9">
        <f>radius_rain*SIN(2*AV2-AV5)</f>
        <v>17.051428816778873</v>
      </c>
      <c r="AX9">
        <f>radius_rain*COS(2*AX2-AX5)</f>
        <v>47.06795488111829</v>
      </c>
      <c r="AY9">
        <f>radius_rain*SIN(2*AX2-AX5)</f>
        <v>16.870317818850154</v>
      </c>
      <c r="AZ9">
        <f>radius_rain*COS(2*AZ2-AZ5)</f>
        <v>47.136735211678413</v>
      </c>
      <c r="BA9">
        <f>radius_rain*SIN(2*AZ2-AZ5)</f>
        <v>16.677175827582946</v>
      </c>
    </row>
    <row r="10" spans="12:53" ht="15.75" x14ac:dyDescent="0.25">
      <c r="L10" s="20">
        <f>-radius_rain*COS(L7)</f>
        <v>-25.313040117694293</v>
      </c>
      <c r="M10" s="21">
        <f>radius_rain*SIN(L7)</f>
        <v>43.119021324700768</v>
      </c>
      <c r="P10">
        <f>radius_rain*COS(-PI()+4*P2-P5)</f>
        <v>13.832659544341148</v>
      </c>
      <c r="Q10">
        <f>-radius_rain*SIN(PI()-4*P2+P5)</f>
        <v>-48.048491442815852</v>
      </c>
      <c r="R10">
        <f>radius_rain*COS(-PI()+4*R2-R5)</f>
        <v>13.14866643626601</v>
      </c>
      <c r="S10">
        <f>-radius_rain*SIN(PI()-4*R2+R5)</f>
        <v>-48.240155171265897</v>
      </c>
      <c r="T10">
        <f>radius_rain*COS(-PI()+4*T2-T5)</f>
        <v>12.420028426613042</v>
      </c>
      <c r="U10">
        <f>-radius_rain*SIN(PI()-4*T2+T5)</f>
        <v>-48.4328699736256</v>
      </c>
      <c r="V10">
        <f>radius_rain*COS(-PI()+4*V2-V5)</f>
        <v>11.64769409683216</v>
      </c>
      <c r="W10">
        <f>-radius_rain*SIN(PI()-4*V2+V5)</f>
        <v>-48.624389170730169</v>
      </c>
      <c r="X10">
        <f>radius_rain*COS(-PI()+4*X2-X5)</f>
        <v>10.832649435493639</v>
      </c>
      <c r="Y10">
        <f>-radius_rain*SIN(PI()-4*X2+X5)</f>
        <v>-48.812433930379861</v>
      </c>
      <c r="Z10">
        <f>radius_rain*COS(-PI()+4*Z2-Z5)</f>
        <v>9.9759229854890918</v>
      </c>
      <c r="AA10">
        <f>-radius_rain*SIN(PI()-4*Z2+Z5)</f>
        <v>-48.994703393199458</v>
      </c>
      <c r="AB10">
        <f>radius_rain*COS(-PI()+4*AB2-AB5)</f>
        <v>9.0785905849330124</v>
      </c>
      <c r="AC10">
        <f>-radius_rain*SIN(PI()-4*AB2+AB5)</f>
        <v>-49.16888439848077</v>
      </c>
      <c r="AD10">
        <f>radius_rain*COS(-PI()+4*AD2-AD5)</f>
        <v>8.1417796670367828</v>
      </c>
      <c r="AE10">
        <f>-radius_rain*SIN(PI()-4*AD2+AD5)</f>
        <v>-49.332660822759458</v>
      </c>
      <c r="AF10">
        <f>radius_rain*COS(-PI()+4*AF2-AF5)</f>
        <v>7.1666730921476258</v>
      </c>
      <c r="AG10">
        <f>-radius_rain*SIN(PI()-4*AF2+AF5)</f>
        <v>-49.483722543784914</v>
      </c>
      <c r="AH10">
        <f>radius_rain*COS(-PI()+4*AH2-AH5)</f>
        <v>6.154512492267326</v>
      </c>
      <c r="AI10">
        <f>-radius_rain*SIN(PI()-4*AH2+AH5)</f>
        <v>-49.619774042034145</v>
      </c>
      <c r="AJ10">
        <f>radius_rain*COS(-PI()+4*AJ2-AJ5)</f>
        <v>5.1066011147078827</v>
      </c>
      <c r="AK10">
        <f>-radius_rain*SIN(PI()-4*AJ2+AJ5)</f>
        <v>-49.738542651099706</v>
      </c>
      <c r="AL10">
        <f>radius_rain*COS(-PI()+4*AL2-AL5)</f>
        <v>4.0243061571525178</v>
      </c>
      <c r="AM10">
        <f>-radius_rain*SIN(PI()-4*AL2+AL5)</f>
        <v>-49.837786467232917</v>
      </c>
      <c r="AN10">
        <f>radius_rain*COS(-PI()+4*AN2-AN5)</f>
        <v>2.9090605913117336</v>
      </c>
      <c r="AO10">
        <f>-radius_rain*SIN(PI()-4*AN2+AN5)</f>
        <v>-49.915301927125284</v>
      </c>
      <c r="AP10">
        <f>radius_rain*COS(-PI()+4*AP2-AP5)</f>
        <v>1.7623644766519644</v>
      </c>
      <c r="AQ10">
        <f>-radius_rain*SIN(PI()-4*AP2+AP5)</f>
        <v>-49.968931061725094</v>
      </c>
      <c r="AR10">
        <f>radius_rain*COS(-PI()+4*AR2-AR5)</f>
        <v>0.58578576938675464</v>
      </c>
      <c r="AS10">
        <f>-radius_rain*SIN(PI()-4*AR2+AR5)</f>
        <v>-49.996568432567287</v>
      </c>
      <c r="AT10">
        <f>radius_rain*COS(-PI()+4*AT2-AT5)</f>
        <v>-0.61903936489495515</v>
      </c>
      <c r="AU10">
        <f>-radius_rain*SIN(PI()-4*AT2+AT5)</f>
        <v>-49.996167755786146</v>
      </c>
      <c r="AV10">
        <f>radius_rain*COS(-PI()+4*AV2-AV5)</f>
        <v>-1.8504067238650064</v>
      </c>
      <c r="AW10">
        <f>-radius_rain*SIN(PI()-4*AV2+AV5)</f>
        <v>-49.965748217716857</v>
      </c>
      <c r="AX10">
        <f>radius_rain*COS(-PI()+4*AX2-AX5)</f>
        <v>-3.1065447129556367</v>
      </c>
      <c r="AY10">
        <f>-radius_rain*SIN(PI()-4*AX2+AX5)</f>
        <v>-49.903400484800706</v>
      </c>
      <c r="AZ10">
        <f>radius_rain*COS(-PI()+4*AZ2-AZ5)</f>
        <v>-4.3856154463789894</v>
      </c>
      <c r="BA10">
        <f>-radius_rain*SIN(PI()-4*AZ2+AZ5)</f>
        <v>-49.80729240941011</v>
      </c>
    </row>
    <row r="11" spans="12:53" ht="15.75" x14ac:dyDescent="0.25">
      <c r="L11" s="20">
        <f>radius_rain*COS(2*L4-L7)</f>
        <v>46.597802326444622</v>
      </c>
      <c r="M11" s="21">
        <f>radius_rain*SIN(2*L4-L7)</f>
        <v>18.128563604036373</v>
      </c>
      <c r="N11" s="6" t="s">
        <v>199</v>
      </c>
      <c r="P11">
        <f>-radius_rain*COS(PI()+P5-6*P2)</f>
        <v>-49.066172071510245</v>
      </c>
      <c r="Q11">
        <f>radius_rain*SIN(PI()-6*P2+P5)</f>
        <v>-9.6182513093050392</v>
      </c>
      <c r="R11">
        <f>-radius_rain*COS(PI()+R5-6*R2)</f>
        <v>-49.332899409016697</v>
      </c>
      <c r="S11">
        <f>radius_rain*SIN(PI()-6*R2+R5)</f>
        <v>-8.1403338936336258</v>
      </c>
      <c r="T11">
        <f>-radius_rain*COS(PI()+T5-6*T2)</f>
        <v>-49.563734827454141</v>
      </c>
      <c r="U11">
        <f>radius_rain*SIN(PI()-6*T2+T5)</f>
        <v>-6.5906137767137842</v>
      </c>
      <c r="V11">
        <f>-radius_rain*COS(PI()+V5-6*V2)</f>
        <v>-49.752209370577873</v>
      </c>
      <c r="W11">
        <f>radius_rain*SIN(PI()-6*V2+V5)</f>
        <v>-4.971686106964424</v>
      </c>
      <c r="X11">
        <f>-radius_rain*COS(PI()+X5-6*X2)</f>
        <v>-49.891871389159029</v>
      </c>
      <c r="Y11">
        <f>radius_rain*SIN(PI()-6*X2+X5)</f>
        <v>-3.2865132416612668</v>
      </c>
      <c r="Z11">
        <f>-radius_rain*COS(PI()+Z5-6*Z2)</f>
        <v>-49.976326385280984</v>
      </c>
      <c r="AA11">
        <f>radius_rain*SIN(PI()-6*Z2+Z5)</f>
        <v>-1.5384411044521558</v>
      </c>
      <c r="AB11">
        <f>-radius_rain*COS(PI()+AB5-6*AB2)</f>
        <v>-49.999277525022841</v>
      </c>
      <c r="AC11">
        <f>radius_rain*SIN(PI()-6*AB2+AB5)</f>
        <v>0.26878797544921806</v>
      </c>
      <c r="AD11">
        <f>-radius_rain*COS(PI()+AD5-6*AD2)</f>
        <v>-49.954566635503468</v>
      </c>
      <c r="AE11">
        <f>radius_rain*SIN(PI()-6*AD2+AD5)</f>
        <v>2.1310261047306782</v>
      </c>
      <c r="AF11">
        <f>-radius_rain*COS(PI()+AF5-6*AF2)</f>
        <v>-49.836215478616396</v>
      </c>
      <c r="AG11">
        <f>radius_rain*SIN(PI()-6*AF2+AF5)</f>
        <v>4.0437144766805009</v>
      </c>
      <c r="AH11">
        <f>-radius_rain*COS(PI()+AH5-6*AH2)</f>
        <v>-49.63846707287513</v>
      </c>
      <c r="AI11">
        <f>radius_rain*SIN(PI()-6*AH2+AH5)</f>
        <v>6.001881926120455</v>
      </c>
      <c r="AJ11">
        <f>-radius_rain*COS(PI()+AJ5-6*AJ2)</f>
        <v>-49.355826816838658</v>
      </c>
      <c r="AK11">
        <f>radius_rain*SIN(PI()-6*AJ2+AJ5)</f>
        <v>8.0001474502805614</v>
      </c>
      <c r="AL11">
        <f>-radius_rain*COS(PI()+AL5-6*AL2)</f>
        <v>-48.983103152763633</v>
      </c>
      <c r="AM11">
        <f>radius_rain*SIN(PI()-6*AL2+AL5)</f>
        <v>10.032726724361471</v>
      </c>
      <c r="AN11">
        <f>-radius_rain*COS(PI()+AN5-6*AN2)</f>
        <v>-48.515447497544699</v>
      </c>
      <c r="AO11">
        <f>radius_rain*SIN(PI()-6*AN2+AN5)</f>
        <v>12.093442607999739</v>
      </c>
      <c r="AP11">
        <f>-radius_rain*COS(PI()+AP5-6*AP2)</f>
        <v>-47.94839315971884</v>
      </c>
      <c r="AQ11">
        <f>radius_rain*SIN(PI()-6*AP2+AP5)</f>
        <v>14.17573960684339</v>
      </c>
      <c r="AR11">
        <f>-radius_rain*COS(PI()+AR5-6*AR2)</f>
        <v>-47.277892956346143</v>
      </c>
      <c r="AS11">
        <f>radius_rain*SIN(PI()-6*AR2+AR5)</f>
        <v>16.272702222073494</v>
      </c>
      <c r="AT11">
        <f>-radius_rain*COS(PI()+AT5-6*AT2)</f>
        <v>-46.500355241915372</v>
      </c>
      <c r="AU11">
        <f>radius_rain*SIN(PI()-6*AT2+AT5)</f>
        <v>18.377077090105303</v>
      </c>
      <c r="AV11">
        <f>-radius_rain*COS(PI()+AV5-6*AV2)</f>
        <v>-45.612678063011089</v>
      </c>
      <c r="AW11">
        <f>radius_rain*SIN(PI()-6*AV2+AV5)</f>
        <v>20.481298784991797</v>
      </c>
      <c r="AX11">
        <f>-radius_rain*COS(PI()+AX5-6*AX2)</f>
        <v>-44.612281157236382</v>
      </c>
      <c r="AY11">
        <f>radius_rain*SIN(PI()-6*AX2+AX5)</f>
        <v>22.577519127390669</v>
      </c>
      <c r="AZ11">
        <f>-radius_rain*COS(PI()+AZ5-6*AZ2)</f>
        <v>-43.497135522706209</v>
      </c>
      <c r="BA11">
        <f>radius_rain*SIN(PI()-6*AZ2+AZ5)</f>
        <v>24.657639816481428</v>
      </c>
    </row>
    <row r="12" spans="12:53" ht="15.75" x14ac:dyDescent="0.25">
      <c r="L12" s="20">
        <f>-radius_rain*COS(4*L4-L7)</f>
        <v>10.482036267963716</v>
      </c>
      <c r="M12" s="21">
        <f>-radius_rain*SIN(4*L4-L7)</f>
        <v>-48.888924263856467</v>
      </c>
      <c r="N12" s="6" t="s">
        <v>200</v>
      </c>
      <c r="P12">
        <v>-200</v>
      </c>
      <c r="Q12">
        <f>Q11-TAN(PI()-6*P2+2*P5)*(-200-P11)</f>
        <v>190.01839769033379</v>
      </c>
      <c r="R12">
        <v>-200</v>
      </c>
      <c r="S12">
        <f>S11-TAN(PI()-6*R2+2*R5)*(-200-R11)</f>
        <v>196.44490296274319</v>
      </c>
      <c r="T12">
        <v>-200</v>
      </c>
      <c r="U12">
        <f t="shared" ref="U12" si="57">U11-TAN(PI()-6*T2+2*T5)*(-200-T11)</f>
        <v>203.73556365620669</v>
      </c>
      <c r="V12">
        <v>-200</v>
      </c>
      <c r="W12">
        <f t="shared" ref="W12" si="58">W11-TAN(PI()-6*V2+2*V5)*(-200-V11)</f>
        <v>211.96058655638143</v>
      </c>
      <c r="X12">
        <v>-200</v>
      </c>
      <c r="Y12">
        <f t="shared" ref="Y12" si="59">Y11-TAN(PI()-6*X2+2*X5)*(-200-X11)</f>
        <v>221.206818060198</v>
      </c>
      <c r="Z12">
        <v>-200</v>
      </c>
      <c r="AA12">
        <f t="shared" ref="AA12" si="60">AA11-TAN(PI()-6*Z2+2*Z5)*(-200-Z11)</f>
        <v>231.58140535267478</v>
      </c>
      <c r="AB12">
        <v>-200</v>
      </c>
      <c r="AC12">
        <f t="shared" ref="AC12" si="61">AC11-TAN(PI()-6*AB2+2*AB5)*(-200-AB11)</f>
        <v>243.21661666138996</v>
      </c>
      <c r="AD12">
        <v>-200</v>
      </c>
      <c r="AE12">
        <f t="shared" ref="AE12" si="62">AE11-TAN(PI()-6*AD2+2*AD5)*(-200-AD11)</f>
        <v>256.27624503803372</v>
      </c>
      <c r="AF12">
        <v>-200</v>
      </c>
      <c r="AG12">
        <f t="shared" ref="AG12" si="63">AG11-TAN(PI()-6*AF2+2*AF5)*(-200-AF11)</f>
        <v>270.96421371674768</v>
      </c>
      <c r="AH12">
        <v>-200</v>
      </c>
      <c r="AI12">
        <f t="shared" ref="AI12" si="64">AI11-TAN(PI()-6*AH2+2*AH5)*(-200-AH11)</f>
        <v>287.53629841262295</v>
      </c>
      <c r="AJ12">
        <v>-200</v>
      </c>
      <c r="AK12">
        <f t="shared" ref="AK12" si="65">AK11-TAN(PI()-6*AJ2+2*AJ5)*(-200-AJ11)</f>
        <v>306.3163490134321</v>
      </c>
      <c r="AL12">
        <v>-200</v>
      </c>
      <c r="AM12">
        <f t="shared" ref="AM12" si="66">AM11-TAN(PI()-6*AL2+2*AL5)*(-200-AL11)</f>
        <v>327.71914537208613</v>
      </c>
      <c r="AN12">
        <v>-200</v>
      </c>
      <c r="AO12">
        <f t="shared" ref="AO12" si="67">AO11-TAN(PI()-6*AN2+2*AN5)*(-200-AN11)</f>
        <v>352.28326717587413</v>
      </c>
      <c r="AP12">
        <v>-200</v>
      </c>
      <c r="AQ12">
        <f t="shared" ref="AQ12" si="68">AQ11-TAN(PI()-6*AP2+2*AP5)*(-200-AP11)</f>
        <v>380.71948366077987</v>
      </c>
      <c r="AR12">
        <v>-200</v>
      </c>
      <c r="AS12">
        <f t="shared" ref="AS12" si="69">AS11-TAN(PI()-6*AR2+2*AR5)*(-200-AR11)</f>
        <v>413.98392630762447</v>
      </c>
      <c r="AT12">
        <v>-200</v>
      </c>
      <c r="AU12">
        <f t="shared" ref="AU12" si="70">AU11-TAN(PI()-6*AT2+2*AT5)*(-200-AT11)</f>
        <v>453.39221797268635</v>
      </c>
      <c r="AV12">
        <v>-200</v>
      </c>
      <c r="AW12">
        <f t="shared" ref="AW12" si="71">AW11-TAN(PI()-6*AV2+2*AV5)*(-200-AV11)</f>
        <v>500.80403741028732</v>
      </c>
      <c r="AX12">
        <v>-200</v>
      </c>
      <c r="AY12">
        <f t="shared" ref="AY12" si="72">AY11-TAN(PI()-6*AX2+2*AX5)*(-200-AX11)</f>
        <v>558.93462884423707</v>
      </c>
      <c r="AZ12">
        <v>-200</v>
      </c>
      <c r="BA12">
        <f t="shared" ref="BA12" si="73">BA11-TAN(PI()-6*AZ2+2*AZ5)*(-200-AZ11)</f>
        <v>631.90829006783349</v>
      </c>
    </row>
    <row r="13" spans="12:53" x14ac:dyDescent="0.25">
      <c r="L13" s="22">
        <f>-radius_rain*COS(PI()+L7-6*L4)</f>
        <v>-49.933992285664239</v>
      </c>
      <c r="M13" s="23">
        <f>radius_rain*SIN(PI()-6*L4+L7)</f>
        <v>-2.5683485774372126</v>
      </c>
    </row>
    <row r="14" spans="12:53" ht="16.5" thickBot="1" x14ac:dyDescent="0.3">
      <c r="L14" s="24">
        <v>-200</v>
      </c>
      <c r="M14" s="25">
        <f>M13-TAN(PI()-6*L4+2*L7)*(-200-L13)</f>
        <v>225.36921480393536</v>
      </c>
    </row>
    <row r="15" spans="12:53" ht="15.75" thickTop="1" x14ac:dyDescent="0.25"/>
    <row r="26" spans="26:26" x14ac:dyDescent="0.25">
      <c r="Z26" s="6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22529" r:id="rId3">
          <objectPr defaultSize="0" autoPict="0" r:id="rId4">
            <anchor moveWithCells="1">
              <from>
                <xdr:col>12</xdr:col>
                <xdr:colOff>66675</xdr:colOff>
                <xdr:row>0</xdr:row>
                <xdr:rowOff>47625</xdr:rowOff>
              </from>
              <to>
                <xdr:col>13</xdr:col>
                <xdr:colOff>123825</xdr:colOff>
                <xdr:row>1</xdr:row>
                <xdr:rowOff>171450</xdr:rowOff>
              </to>
            </anchor>
          </objectPr>
        </oleObject>
      </mc:Choice>
      <mc:Fallback>
        <oleObject progId="Equation.3" shapeId="22529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Φύλλο3"/>
  <dimension ref="A1:AZ41"/>
  <sheetViews>
    <sheetView tabSelected="1" topLeftCell="A3" zoomScale="130" zoomScaleNormal="130" workbookViewId="0">
      <selection activeCell="G17" sqref="G17"/>
    </sheetView>
  </sheetViews>
  <sheetFormatPr defaultRowHeight="15" x14ac:dyDescent="0.25"/>
  <cols>
    <col min="16" max="16" width="10.28515625" bestFit="1" customWidth="1"/>
  </cols>
  <sheetData>
    <row r="1" spans="1:52" x14ac:dyDescent="0.25">
      <c r="L1" t="s">
        <v>201</v>
      </c>
      <c r="M1" t="s">
        <v>202</v>
      </c>
      <c r="N1" t="s">
        <v>115</v>
      </c>
      <c r="P1" t="s">
        <v>153</v>
      </c>
      <c r="Q1">
        <v>1.33</v>
      </c>
      <c r="S1" t="s">
        <v>154</v>
      </c>
      <c r="T1">
        <v>50</v>
      </c>
    </row>
    <row r="2" spans="1:52" x14ac:dyDescent="0.25">
      <c r="L2">
        <f>-D20</f>
        <v>-104</v>
      </c>
      <c r="M2">
        <v>0</v>
      </c>
      <c r="N2">
        <f t="shared" ref="N2:AZ2" si="0">ASIN(SIN(RADIANS(N4))/Index_of_ref)</f>
        <v>0.74972077324328434</v>
      </c>
      <c r="O2">
        <f t="shared" si="0"/>
        <v>0.74202916534997254</v>
      </c>
      <c r="P2">
        <f t="shared" si="0"/>
        <v>0.74202916534997254</v>
      </c>
      <c r="Q2">
        <f t="shared" si="0"/>
        <v>0.73411411713322383</v>
      </c>
      <c r="R2">
        <f t="shared" si="0"/>
        <v>0.73411411713322383</v>
      </c>
      <c r="S2">
        <f t="shared" si="0"/>
        <v>0.72598229595825714</v>
      </c>
      <c r="T2">
        <f t="shared" si="0"/>
        <v>0.72598229595825714</v>
      </c>
      <c r="U2">
        <f t="shared" si="0"/>
        <v>0.71764030067489315</v>
      </c>
      <c r="V2">
        <f t="shared" si="0"/>
        <v>0.71764030067489315</v>
      </c>
      <c r="W2">
        <f t="shared" si="0"/>
        <v>0.70909464879879069</v>
      </c>
      <c r="X2">
        <f t="shared" si="0"/>
        <v>0.70909464879879069</v>
      </c>
      <c r="Y2">
        <f t="shared" si="0"/>
        <v>0.70035176522282638</v>
      </c>
      <c r="Z2">
        <f t="shared" si="0"/>
        <v>0.70035176522282638</v>
      </c>
      <c r="AA2">
        <f t="shared" si="0"/>
        <v>0.69141797239083758</v>
      </c>
      <c r="AB2">
        <f t="shared" si="0"/>
        <v>0.69141797239083758</v>
      </c>
      <c r="AC2">
        <f t="shared" si="0"/>
        <v>0.6822994818577639</v>
      </c>
      <c r="AD2">
        <f t="shared" si="0"/>
        <v>0.6822994818577639</v>
      </c>
      <c r="AE2">
        <f t="shared" si="0"/>
        <v>0.67300238715431693</v>
      </c>
      <c r="AF2">
        <f t="shared" si="0"/>
        <v>0.67300238715431693</v>
      </c>
      <c r="AG2">
        <f t="shared" si="0"/>
        <v>0.66353265787048266</v>
      </c>
      <c r="AH2">
        <f t="shared" si="0"/>
        <v>0.66353265787048266</v>
      </c>
      <c r="AI2">
        <f t="shared" si="0"/>
        <v>0.65389613487010845</v>
      </c>
      <c r="AJ2">
        <f t="shared" si="0"/>
        <v>0.65389613487010845</v>
      </c>
      <c r="AK2">
        <f t="shared" si="0"/>
        <v>0.64409852654834232</v>
      </c>
      <c r="AL2">
        <f t="shared" si="0"/>
        <v>0.64409852654834232</v>
      </c>
      <c r="AM2">
        <f t="shared" si="0"/>
        <v>0.63414540604449754</v>
      </c>
      <c r="AN2">
        <f t="shared" si="0"/>
        <v>0.63414540604449754</v>
      </c>
      <c r="AO2">
        <f t="shared" si="0"/>
        <v>0.62404220932479948</v>
      </c>
      <c r="AP2">
        <f t="shared" si="0"/>
        <v>0.62404220932479948</v>
      </c>
      <c r="AQ2">
        <f t="shared" si="0"/>
        <v>0.61379423405223421</v>
      </c>
      <c r="AR2">
        <f t="shared" si="0"/>
        <v>0.61379423405223421</v>
      </c>
      <c r="AS2">
        <f t="shared" si="0"/>
        <v>0.60340663916412951</v>
      </c>
      <c r="AT2">
        <f t="shared" si="0"/>
        <v>0.60340663916412951</v>
      </c>
      <c r="AU2">
        <f t="shared" si="0"/>
        <v>0.5928844450820423</v>
      </c>
      <c r="AV2">
        <f t="shared" si="0"/>
        <v>0.5928844450820423</v>
      </c>
      <c r="AW2">
        <f t="shared" si="0"/>
        <v>0.58223253448280166</v>
      </c>
      <c r="AX2">
        <f t="shared" si="0"/>
        <v>0.58223253448280166</v>
      </c>
      <c r="AY2">
        <f t="shared" si="0"/>
        <v>0.57145565356407579</v>
      </c>
      <c r="AZ2">
        <f t="shared" si="0"/>
        <v>0.57145565356407579</v>
      </c>
    </row>
    <row r="3" spans="1:52" x14ac:dyDescent="0.25">
      <c r="N3" t="s">
        <v>93</v>
      </c>
      <c r="O3">
        <v>1</v>
      </c>
      <c r="P3">
        <f>P5-ASIN(P5*radius_rain/(-x_source))</f>
        <v>0.5501050095064185</v>
      </c>
      <c r="Q3">
        <f>O3+1</f>
        <v>2</v>
      </c>
      <c r="R3">
        <f>R5-ASIN(R5*radius_rain/(-x_source))</f>
        <v>0.54256763889903425</v>
      </c>
      <c r="S3">
        <f t="shared" ref="S3" si="1">Q3+1</f>
        <v>3</v>
      </c>
      <c r="T3">
        <f>T5-ASIN(T5*radius_rain/(-x_source))</f>
        <v>0.53496940690977868</v>
      </c>
      <c r="U3">
        <f t="shared" ref="U3" si="2">S3+1</f>
        <v>4</v>
      </c>
      <c r="V3">
        <f>V5-ASIN(V5*radius_rain/(-x_source))</f>
        <v>0.52731236066512477</v>
      </c>
      <c r="W3">
        <f t="shared" ref="W3" si="3">U3+1</f>
        <v>5</v>
      </c>
      <c r="X3">
        <f>X5-ASIN(X5*radius_rain/(-x_source))</f>
        <v>0.51959846452930369</v>
      </c>
      <c r="Y3">
        <f t="shared" ref="Y3" si="4">W3+1</f>
        <v>6</v>
      </c>
      <c r="Z3">
        <f>Z5-ASIN(Z5*radius_rain/(-x_source))</f>
        <v>0.511829605118993</v>
      </c>
      <c r="AA3">
        <f t="shared" ref="AA3" si="5">Y3+1</f>
        <v>7</v>
      </c>
      <c r="AB3">
        <f>AB5-ASIN(AB5*radius_rain/(-x_source))</f>
        <v>0.50400759594613675</v>
      </c>
      <c r="AC3">
        <f t="shared" ref="AC3" si="6">AA3+1</f>
        <v>8</v>
      </c>
      <c r="AD3">
        <f>AD5-ASIN(AD5*radius_rain/(-x_source))</f>
        <v>0.49613418172235624</v>
      </c>
      <c r="AE3">
        <f t="shared" ref="AE3" si="7">AC3+1</f>
        <v>9</v>
      </c>
      <c r="AF3">
        <f>AF5-ASIN(AF5*radius_rain/(-x_source))</f>
        <v>0.48821104235492996</v>
      </c>
      <c r="AG3">
        <f t="shared" ref="AG3" si="8">AE3+1</f>
        <v>10</v>
      </c>
      <c r="AH3">
        <f>AH5-ASIN(AH5*radius_rain/(-x_source))</f>
        <v>0.48023979666123995</v>
      </c>
      <c r="AI3">
        <f t="shared" ref="AI3" si="9">AG3+1</f>
        <v>11</v>
      </c>
      <c r="AJ3">
        <f>AJ5-ASIN(AJ5*radius_rain/(-x_source))</f>
        <v>0.4722220058258747</v>
      </c>
      <c r="AK3">
        <f t="shared" ref="AK3" si="10">AI3+1</f>
        <v>12</v>
      </c>
      <c r="AL3">
        <f>AL5-ASIN(AL5*radius_rain/(-x_source))</f>
        <v>0.46415917662216566</v>
      </c>
      <c r="AM3">
        <f t="shared" ref="AM3" si="11">AK3+1</f>
        <v>13</v>
      </c>
      <c r="AN3">
        <f>AN5-ASIN(AN5*radius_rain/(-x_source))</f>
        <v>0.45605276441781312</v>
      </c>
      <c r="AO3">
        <f t="shared" ref="AO3" si="12">AM3+1</f>
        <v>14</v>
      </c>
      <c r="AP3">
        <f>AP5-ASIN(AP5*radius_rain/(-x_source))</f>
        <v>0.44790417598235061</v>
      </c>
      <c r="AQ3">
        <f t="shared" ref="AQ3" si="13">AO3+1</f>
        <v>15</v>
      </c>
      <c r="AR3">
        <f>AR5-ASIN(AR5*radius_rain/(-x_source))</f>
        <v>0.43971477211252441</v>
      </c>
      <c r="AS3">
        <f t="shared" ref="AS3" si="14">AQ3+1</f>
        <v>16</v>
      </c>
      <c r="AT3">
        <f>AT5-ASIN(AT5*radius_rain/(-x_source))</f>
        <v>0.43148587009015044</v>
      </c>
      <c r="AU3">
        <f t="shared" ref="AU3" si="15">AS3+1</f>
        <v>17</v>
      </c>
      <c r="AV3">
        <f>AV5-ASIN(AV5*radius_rain/(-x_source))</f>
        <v>0.42321874598567344</v>
      </c>
      <c r="AW3">
        <f t="shared" ref="AW3" si="16">AU3+1</f>
        <v>18</v>
      </c>
      <c r="AX3">
        <f>AX5-ASIN(AX5*radius_rain/(-x_source))</f>
        <v>0.41491463681945057</v>
      </c>
      <c r="AY3">
        <f t="shared" ref="AY3" si="17">AW3+1</f>
        <v>19</v>
      </c>
      <c r="AZ3">
        <f>AZ5-ASIN(AZ5*radius_rain/(-x_source))</f>
        <v>0.40657474259170412</v>
      </c>
    </row>
    <row r="4" spans="1:52" x14ac:dyDescent="0.25">
      <c r="M4" t="s">
        <v>116</v>
      </c>
      <c r="N4">
        <f>CEILING(farisi_point,2)+5</f>
        <v>65</v>
      </c>
      <c r="O4">
        <f>N4-1</f>
        <v>64</v>
      </c>
      <c r="P4">
        <f>O4</f>
        <v>64</v>
      </c>
      <c r="Q4">
        <f t="shared" ref="Q4" si="18">P4-1</f>
        <v>63</v>
      </c>
      <c r="R4">
        <f t="shared" ref="R4" si="19">Q4</f>
        <v>63</v>
      </c>
      <c r="S4">
        <f t="shared" ref="S4" si="20">R4-1</f>
        <v>62</v>
      </c>
      <c r="T4">
        <f t="shared" ref="T4" si="21">S4</f>
        <v>62</v>
      </c>
      <c r="U4">
        <f t="shared" ref="U4" si="22">T4-1</f>
        <v>61</v>
      </c>
      <c r="V4">
        <f t="shared" ref="V4" si="23">U4</f>
        <v>61</v>
      </c>
      <c r="W4">
        <f t="shared" ref="W4" si="24">V4-1</f>
        <v>60</v>
      </c>
      <c r="X4">
        <f t="shared" ref="X4" si="25">W4</f>
        <v>60</v>
      </c>
      <c r="Y4">
        <f t="shared" ref="Y4" si="26">X4-1</f>
        <v>59</v>
      </c>
      <c r="Z4">
        <f t="shared" ref="Z4" si="27">Y4</f>
        <v>59</v>
      </c>
      <c r="AA4">
        <f t="shared" ref="AA4" si="28">Z4-1</f>
        <v>58</v>
      </c>
      <c r="AB4">
        <f t="shared" ref="AB4" si="29">AA4</f>
        <v>58</v>
      </c>
      <c r="AC4">
        <f t="shared" ref="AC4" si="30">AB4-1</f>
        <v>57</v>
      </c>
      <c r="AD4">
        <f t="shared" ref="AD4" si="31">AC4</f>
        <v>57</v>
      </c>
      <c r="AE4">
        <f t="shared" ref="AE4" si="32">AD4-1</f>
        <v>56</v>
      </c>
      <c r="AF4">
        <f t="shared" ref="AF4" si="33">AE4</f>
        <v>56</v>
      </c>
      <c r="AG4">
        <f t="shared" ref="AG4" si="34">AF4-1</f>
        <v>55</v>
      </c>
      <c r="AH4">
        <f t="shared" ref="AH4" si="35">AG4</f>
        <v>55</v>
      </c>
      <c r="AI4">
        <f t="shared" ref="AI4" si="36">AH4-1</f>
        <v>54</v>
      </c>
      <c r="AJ4">
        <f t="shared" ref="AJ4" si="37">AI4</f>
        <v>54</v>
      </c>
      <c r="AK4">
        <f t="shared" ref="AK4" si="38">AJ4-1</f>
        <v>53</v>
      </c>
      <c r="AL4">
        <f t="shared" ref="AL4" si="39">AK4</f>
        <v>53</v>
      </c>
      <c r="AM4">
        <f t="shared" ref="AM4" si="40">AL4-1</f>
        <v>52</v>
      </c>
      <c r="AN4">
        <f t="shared" ref="AN4" si="41">AM4</f>
        <v>52</v>
      </c>
      <c r="AO4">
        <f t="shared" ref="AO4" si="42">AN4-1</f>
        <v>51</v>
      </c>
      <c r="AP4">
        <f t="shared" ref="AP4" si="43">AO4</f>
        <v>51</v>
      </c>
      <c r="AQ4">
        <f t="shared" ref="AQ4" si="44">AP4-1</f>
        <v>50</v>
      </c>
      <c r="AR4">
        <f t="shared" ref="AR4" si="45">AQ4</f>
        <v>50</v>
      </c>
      <c r="AS4">
        <f t="shared" ref="AS4" si="46">AR4-1</f>
        <v>49</v>
      </c>
      <c r="AT4">
        <f t="shared" ref="AT4" si="47">AS4</f>
        <v>49</v>
      </c>
      <c r="AU4">
        <f t="shared" ref="AU4" si="48">AT4-1</f>
        <v>48</v>
      </c>
      <c r="AV4">
        <f t="shared" ref="AV4" si="49">AU4</f>
        <v>48</v>
      </c>
      <c r="AW4">
        <f t="shared" ref="AW4" si="50">AV4-1</f>
        <v>47</v>
      </c>
      <c r="AX4">
        <f t="shared" ref="AX4" si="51">AW4</f>
        <v>47</v>
      </c>
      <c r="AY4">
        <f t="shared" ref="AY4" si="52">AX4-1</f>
        <v>46</v>
      </c>
      <c r="AZ4">
        <f t="shared" ref="AZ4" si="53">AY4</f>
        <v>46</v>
      </c>
    </row>
    <row r="5" spans="1:52" x14ac:dyDescent="0.25">
      <c r="N5">
        <f>RADIANS(N4)</f>
        <v>1.1344640137963142</v>
      </c>
      <c r="O5">
        <f t="shared" ref="O5:AZ5" si="54">RADIANS(O4)</f>
        <v>1.1170107212763709</v>
      </c>
      <c r="P5">
        <f t="shared" si="54"/>
        <v>1.1170107212763709</v>
      </c>
      <c r="Q5">
        <f t="shared" si="54"/>
        <v>1.0995574287564276</v>
      </c>
      <c r="R5">
        <f t="shared" si="54"/>
        <v>1.0995574287564276</v>
      </c>
      <c r="S5">
        <f t="shared" si="54"/>
        <v>1.0821041362364843</v>
      </c>
      <c r="T5">
        <f t="shared" si="54"/>
        <v>1.0821041362364843</v>
      </c>
      <c r="U5">
        <f t="shared" si="54"/>
        <v>1.064650843716541</v>
      </c>
      <c r="V5">
        <f t="shared" si="54"/>
        <v>1.064650843716541</v>
      </c>
      <c r="W5">
        <f t="shared" si="54"/>
        <v>1.0471975511965976</v>
      </c>
      <c r="X5">
        <f t="shared" si="54"/>
        <v>1.0471975511965976</v>
      </c>
      <c r="Y5">
        <f t="shared" si="54"/>
        <v>1.0297442586766545</v>
      </c>
      <c r="Z5">
        <f t="shared" si="54"/>
        <v>1.0297442586766545</v>
      </c>
      <c r="AA5">
        <f t="shared" si="54"/>
        <v>1.0122909661567112</v>
      </c>
      <c r="AB5">
        <f t="shared" si="54"/>
        <v>1.0122909661567112</v>
      </c>
      <c r="AC5">
        <f t="shared" si="54"/>
        <v>0.99483767363676789</v>
      </c>
      <c r="AD5">
        <f t="shared" si="54"/>
        <v>0.99483767363676789</v>
      </c>
      <c r="AE5">
        <f t="shared" si="54"/>
        <v>0.97738438111682457</v>
      </c>
      <c r="AF5">
        <f t="shared" si="54"/>
        <v>0.97738438111682457</v>
      </c>
      <c r="AG5">
        <f t="shared" si="54"/>
        <v>0.95993108859688125</v>
      </c>
      <c r="AH5">
        <f t="shared" si="54"/>
        <v>0.95993108859688125</v>
      </c>
      <c r="AI5">
        <f t="shared" si="54"/>
        <v>0.94247779607693793</v>
      </c>
      <c r="AJ5">
        <f t="shared" si="54"/>
        <v>0.94247779607693793</v>
      </c>
      <c r="AK5">
        <f t="shared" si="54"/>
        <v>0.92502450355699462</v>
      </c>
      <c r="AL5">
        <f t="shared" si="54"/>
        <v>0.92502450355699462</v>
      </c>
      <c r="AM5">
        <f t="shared" si="54"/>
        <v>0.90757121103705141</v>
      </c>
      <c r="AN5">
        <f t="shared" si="54"/>
        <v>0.90757121103705141</v>
      </c>
      <c r="AO5">
        <f t="shared" si="54"/>
        <v>0.89011791851710809</v>
      </c>
      <c r="AP5">
        <f t="shared" si="54"/>
        <v>0.89011791851710809</v>
      </c>
      <c r="AQ5">
        <f t="shared" si="54"/>
        <v>0.87266462599716477</v>
      </c>
      <c r="AR5">
        <f t="shared" si="54"/>
        <v>0.87266462599716477</v>
      </c>
      <c r="AS5">
        <f t="shared" si="54"/>
        <v>0.85521133347722145</v>
      </c>
      <c r="AT5">
        <f t="shared" si="54"/>
        <v>0.85521133347722145</v>
      </c>
      <c r="AU5">
        <f t="shared" si="54"/>
        <v>0.83775804095727824</v>
      </c>
      <c r="AV5">
        <f t="shared" si="54"/>
        <v>0.83775804095727824</v>
      </c>
      <c r="AW5">
        <f t="shared" si="54"/>
        <v>0.82030474843733492</v>
      </c>
      <c r="AX5">
        <f t="shared" si="54"/>
        <v>0.82030474843733492</v>
      </c>
      <c r="AY5">
        <f t="shared" si="54"/>
        <v>0.8028514559173916</v>
      </c>
      <c r="AZ5">
        <f t="shared" si="54"/>
        <v>0.8028514559173916</v>
      </c>
    </row>
    <row r="6" spans="1:52" x14ac:dyDescent="0.25">
      <c r="O6" t="s">
        <v>119</v>
      </c>
      <c r="P6" t="s">
        <v>120</v>
      </c>
      <c r="Q6" t="s">
        <v>121</v>
      </c>
      <c r="R6" t="s">
        <v>122</v>
      </c>
      <c r="S6" t="s">
        <v>123</v>
      </c>
      <c r="T6" t="s">
        <v>124</v>
      </c>
      <c r="U6" t="s">
        <v>125</v>
      </c>
      <c r="V6" t="s">
        <v>126</v>
      </c>
      <c r="W6" t="s">
        <v>127</v>
      </c>
      <c r="X6" t="s">
        <v>128</v>
      </c>
      <c r="Y6" t="s">
        <v>129</v>
      </c>
      <c r="Z6" t="s">
        <v>130</v>
      </c>
      <c r="AA6" t="s">
        <v>131</v>
      </c>
      <c r="AB6" t="s">
        <v>132</v>
      </c>
      <c r="AC6" t="s">
        <v>133</v>
      </c>
      <c r="AD6" t="s">
        <v>134</v>
      </c>
      <c r="AE6" t="s">
        <v>135</v>
      </c>
      <c r="AF6" t="s">
        <v>136</v>
      </c>
      <c r="AG6" t="s">
        <v>137</v>
      </c>
      <c r="AH6" t="s">
        <v>138</v>
      </c>
      <c r="AI6" t="s">
        <v>139</v>
      </c>
      <c r="AJ6" t="s">
        <v>140</v>
      </c>
      <c r="AK6" t="s">
        <v>141</v>
      </c>
      <c r="AL6" t="s">
        <v>142</v>
      </c>
      <c r="AM6" t="s">
        <v>143</v>
      </c>
      <c r="AN6" t="s">
        <v>144</v>
      </c>
      <c r="AO6" t="s">
        <v>145</v>
      </c>
      <c r="AP6" t="s">
        <v>146</v>
      </c>
      <c r="AQ6" t="s">
        <v>147</v>
      </c>
      <c r="AR6" t="s">
        <v>148</v>
      </c>
      <c r="AS6" t="s">
        <v>149</v>
      </c>
      <c r="AT6" t="s">
        <v>150</v>
      </c>
      <c r="AU6" t="s">
        <v>151</v>
      </c>
      <c r="AV6" t="s">
        <v>152</v>
      </c>
    </row>
    <row r="7" spans="1:52" x14ac:dyDescent="0.25">
      <c r="N7" t="s">
        <v>71</v>
      </c>
      <c r="O7">
        <f>x_source</f>
        <v>-104</v>
      </c>
      <c r="P7">
        <f>y_source</f>
        <v>0</v>
      </c>
      <c r="Q7">
        <f>x_source</f>
        <v>-104</v>
      </c>
      <c r="R7">
        <f>y_source</f>
        <v>0</v>
      </c>
      <c r="S7">
        <f>x_source</f>
        <v>-104</v>
      </c>
      <c r="T7">
        <f>y_source</f>
        <v>0</v>
      </c>
      <c r="U7">
        <f>x_source</f>
        <v>-104</v>
      </c>
      <c r="V7">
        <f>y_source</f>
        <v>0</v>
      </c>
      <c r="W7">
        <f>x_source</f>
        <v>-104</v>
      </c>
      <c r="X7">
        <f>y_source</f>
        <v>0</v>
      </c>
      <c r="Y7">
        <f>x_source</f>
        <v>-104</v>
      </c>
      <c r="Z7">
        <f>y_source</f>
        <v>0</v>
      </c>
      <c r="AA7">
        <f>x_source</f>
        <v>-104</v>
      </c>
      <c r="AB7">
        <f>y_source</f>
        <v>0</v>
      </c>
      <c r="AC7">
        <f>x_source</f>
        <v>-104</v>
      </c>
      <c r="AD7">
        <f>y_source</f>
        <v>0</v>
      </c>
      <c r="AE7">
        <f>x_source</f>
        <v>-104</v>
      </c>
      <c r="AF7">
        <f>y_source</f>
        <v>0</v>
      </c>
      <c r="AG7">
        <f>x_source</f>
        <v>-104</v>
      </c>
      <c r="AH7">
        <f>y_source</f>
        <v>0</v>
      </c>
      <c r="AI7">
        <f>x_source</f>
        <v>-104</v>
      </c>
      <c r="AJ7">
        <f>y_source</f>
        <v>0</v>
      </c>
      <c r="AK7">
        <f>x_source</f>
        <v>-104</v>
      </c>
      <c r="AL7">
        <f>y_source</f>
        <v>0</v>
      </c>
      <c r="AM7">
        <f>x_source</f>
        <v>-104</v>
      </c>
      <c r="AN7">
        <f>y_source</f>
        <v>0</v>
      </c>
      <c r="AO7">
        <f>x_source</f>
        <v>-104</v>
      </c>
      <c r="AP7">
        <f>y_source</f>
        <v>0</v>
      </c>
      <c r="AQ7">
        <f>x_source</f>
        <v>-104</v>
      </c>
      <c r="AR7">
        <f>y_source</f>
        <v>0</v>
      </c>
      <c r="AS7">
        <f>x_source</f>
        <v>-104</v>
      </c>
      <c r="AT7">
        <f>y_source</f>
        <v>0</v>
      </c>
      <c r="AU7">
        <f>x_source</f>
        <v>-104</v>
      </c>
      <c r="AV7">
        <f>y_source</f>
        <v>0</v>
      </c>
      <c r="AW7">
        <f>x_source</f>
        <v>-104</v>
      </c>
      <c r="AX7">
        <f>y_source</f>
        <v>0</v>
      </c>
      <c r="AY7">
        <f>x_source</f>
        <v>-104</v>
      </c>
      <c r="AZ7">
        <f>y_source</f>
        <v>0</v>
      </c>
    </row>
    <row r="8" spans="1:52" x14ac:dyDescent="0.25">
      <c r="N8" t="s">
        <v>69</v>
      </c>
      <c r="O8">
        <f>-radius_rain*COS(P3)</f>
        <v>-42.623481511564648</v>
      </c>
      <c r="P8">
        <f>radius_rain*SIN(P3)</f>
        <v>26.138837461396534</v>
      </c>
      <c r="Q8">
        <f>-radius_rain*COS(R3)</f>
        <v>-42.819286995326358</v>
      </c>
      <c r="R8">
        <f>radius_rain*SIN(R3)</f>
        <v>25.816829030922346</v>
      </c>
      <c r="S8">
        <f>-radius_rain*COS(T3)</f>
        <v>-43.014211324254617</v>
      </c>
      <c r="T8">
        <f>radius_rain*SIN(T3)</f>
        <v>25.490736045716016</v>
      </c>
      <c r="U8">
        <f>-radius_rain*COS(V3)</f>
        <v>-43.208132198564172</v>
      </c>
      <c r="V8">
        <f>radius_rain*SIN(V3)</f>
        <v>25.160630197024126</v>
      </c>
      <c r="W8">
        <f>-radius_rain*COS(X3)</f>
        <v>-43.400931235637827</v>
      </c>
      <c r="X8">
        <f>radius_rain*SIN(X3)</f>
        <v>24.826581880706758</v>
      </c>
      <c r="Y8">
        <f>-radius_rain*COS(Z3)</f>
        <v>-43.592493790907945</v>
      </c>
      <c r="Z8">
        <f>radius_rain*SIN(Z3)</f>
        <v>24.48866033676919</v>
      </c>
      <c r="AA8">
        <f>-radius_rain*COS(AB3)</f>
        <v>-43.782708792389265</v>
      </c>
      <c r="AB8">
        <f>radius_rain*SIN(AB3)</f>
        <v>24.146933776379143</v>
      </c>
      <c r="AC8">
        <f>-radius_rain*COS(AD3)</f>
        <v>-43.971468587674451</v>
      </c>
      <c r="AD8">
        <f>radius_rain*SIN(AD3)</f>
        <v>23.801469497557477</v>
      </c>
      <c r="AE8">
        <f>-radius_rain*COS(AF3)</f>
        <v>-44.15866880232317</v>
      </c>
      <c r="AF8">
        <f>radius_rain*SIN(AF3)</f>
        <v>23.452333990601666</v>
      </c>
      <c r="AG8">
        <f>-radius_rain*COS(AH3)</f>
        <v>-44.344208208681749</v>
      </c>
      <c r="AH8">
        <f>radius_rain*SIN(AH3)</f>
        <v>23.099593034187468</v>
      </c>
      <c r="AI8">
        <f>-radius_rain*COS(AJ3)</f>
        <v>-44.527988604264102</v>
      </c>
      <c r="AJ8">
        <f>radius_rain*SIN(AJ3)</f>
        <v>22.743311782995161</v>
      </c>
      <c r="AK8">
        <f>-radius_rain*COS(AL3)</f>
        <v>-44.709914698908477</v>
      </c>
      <c r="AL8">
        <f>radius_rain*SIN(AL3)</f>
        <v>22.3835548476181</v>
      </c>
      <c r="AM8">
        <f>-radius_rain*COS(AN3)</f>
        <v>-44.889894009998571</v>
      </c>
      <c r="AN8">
        <f>radius_rain*SIN(AN3)</f>
        <v>22.020386367434483</v>
      </c>
      <c r="AO8">
        <f>-radius_rain*COS(AP3)</f>
        <v>-45.067836765104218</v>
      </c>
      <c r="AP8">
        <f>radius_rain*SIN(AP3)</f>
        <v>21.653870077053679</v>
      </c>
      <c r="AQ8">
        <f>-radius_rain*COS(AR3)</f>
        <v>-45.243655811455874</v>
      </c>
      <c r="AR8">
        <f>radius_rain*SIN(AR3)</f>
        <v>21.284069366888353</v>
      </c>
      <c r="AS8">
        <f>-radius_rain*COS(AT3)</f>
        <v>-45.417266531720344</v>
      </c>
      <c r="AT8">
        <f>radius_rain*SIN(AT3)</f>
        <v>20.911047338349061</v>
      </c>
      <c r="AU8">
        <f>-radius_rain*COS(AV3)</f>
        <v>-45.588586765592723</v>
      </c>
      <c r="AV8">
        <f>radius_rain*SIN(AV3)</f>
        <v>20.534866854109975</v>
      </c>
      <c r="AW8">
        <f>-radius_rain*COS(AX3)</f>
        <v>-45.757536736762255</v>
      </c>
      <c r="AX8">
        <f>radius_rain*SIN(AX3)</f>
        <v>20.15559058385173</v>
      </c>
      <c r="AY8">
        <f>-radius_rain*COS(AZ3)</f>
        <v>-45.924038984848366</v>
      </c>
      <c r="AZ8">
        <f>radius_rain*SIN(AZ3)</f>
        <v>19.773281045848911</v>
      </c>
    </row>
    <row r="9" spans="1:52" x14ac:dyDescent="0.25">
      <c r="O9">
        <f>radius_rain*COS(2*O2-P3)</f>
        <v>29.733012887410261</v>
      </c>
      <c r="P9">
        <f>radius_rain*SIN(2*O2-P3)</f>
        <v>40.198855016493887</v>
      </c>
      <c r="Q9">
        <f>radius_rain*COS(2*Q2-R3)</f>
        <v>30.065344796391557</v>
      </c>
      <c r="R9">
        <f>radius_rain*SIN(2*Q2-R3)</f>
        <v>39.950907903001294</v>
      </c>
      <c r="S9">
        <f>radius_rain*COS(2*S2-T3)</f>
        <v>30.41040268879059</v>
      </c>
      <c r="T9">
        <f>radius_rain*SIN(2*S2-T3)</f>
        <v>39.688882678976967</v>
      </c>
      <c r="U9">
        <f>radius_rain*COS(2*U2-V3)</f>
        <v>30.767428158895981</v>
      </c>
      <c r="V9">
        <f>radius_rain*SIN(2*U2-V3)</f>
        <v>39.412756367541398</v>
      </c>
      <c r="W9">
        <f>radius_rain*COS(2*W2-X3)</f>
        <v>31.135659455088593</v>
      </c>
      <c r="X9">
        <f>radius_rain*SIN(2*W2-X3)</f>
        <v>39.122508997976503</v>
      </c>
      <c r="Y9">
        <f>radius_rain*COS(2*Y2-Z3)</f>
        <v>31.514333407097006</v>
      </c>
      <c r="Z9">
        <f>radius_rain*SIN(2*Y2-Z3)</f>
        <v>38.818124502689841</v>
      </c>
      <c r="AA9">
        <f>radius_rain*COS(2*AA2-AB3)</f>
        <v>31.902687188356033</v>
      </c>
      <c r="AB9">
        <f>radius_rain*SIN(2*AA2-AB3)</f>
        <v>38.499591558377652</v>
      </c>
      <c r="AC9">
        <f>radius_rain*COS(2*AC2-AD3)</f>
        <v>32.299959921623078</v>
      </c>
      <c r="AD9">
        <f>radius_rain*SIN(2*AC2-AD3)</f>
        <v>38.166904368333867</v>
      </c>
      <c r="AE9">
        <f>radius_rain*COS(2*AE2-AF3)</f>
        <v>32.70539413652407</v>
      </c>
      <c r="AF9">
        <f>radius_rain*SIN(2*AE2-AF3)</f>
        <v>37.820063384063978</v>
      </c>
      <c r="AG9">
        <f>radius_rain*COS(2*AG2-AH3)</f>
        <v>33.118237088018645</v>
      </c>
      <c r="AH9">
        <f>radius_rain*SIN(2*AG2-AH3)</f>
        <v>37.459075965402384</v>
      </c>
      <c r="AI9">
        <f>radius_rain*COS(2*AI2-AJ3)</f>
        <v>33.537741944924385</v>
      </c>
      <c r="AJ9">
        <f>radius_rain*SIN(2*AI2-AJ3)</f>
        <v>37.083956979206789</v>
      </c>
      <c r="AK9">
        <f>radius_rain*COS(2*AK2-AL3)</f>
        <v>33.963168857642209</v>
      </c>
      <c r="AL9">
        <f>radius_rain*SIN(2*AK2-AL3)</f>
        <v>36.694729337430495</v>
      </c>
      <c r="AM9">
        <f>radius_rain*COS(2*AM2-AN3)</f>
        <v>34.393785914108108</v>
      </c>
      <c r="AN9">
        <f>radius_rain*SIN(2*AM2-AN3)</f>
        <v>36.291424475962621</v>
      </c>
      <c r="AO9">
        <f>radius_rain*COS(2*AO2-AP3)</f>
        <v>34.828869992778678</v>
      </c>
      <c r="AP9">
        <f>radius_rain*SIN(2*AO2-AP3)</f>
        <v>35.874082776095072</v>
      </c>
      <c r="AQ9">
        <f>radius_rain*COS(2*AQ2-AR3)</f>
        <v>35.267707521162315</v>
      </c>
      <c r="AR9">
        <f>radius_rain*SIN(2*AQ2-AR3)</f>
        <v>35.442753930835444</v>
      </c>
      <c r="AS9">
        <f>radius_rain*COS(2*AS2-AT3)</f>
        <v>35.709595148051278</v>
      </c>
      <c r="AT9">
        <f>radius_rain*SIN(2*AS2-AT3)</f>
        <v>34.99749725855083</v>
      </c>
      <c r="AU9">
        <f>radius_rain*COS(2*AU2-AV3)</f>
        <v>36.153840337208699</v>
      </c>
      <c r="AV9">
        <f>radius_rain*SIN(2*AU2-AV3)</f>
        <v>34.538381966612462</v>
      </c>
      <c r="AW9">
        <f>radius_rain*COS(2*AW2-AX3)</f>
        <v>36.599761889833218</v>
      </c>
      <c r="AX9">
        <f>radius_rain*SIN(2*AW2-AX3)</f>
        <v>34.065487367825988</v>
      </c>
      <c r="AY9">
        <f>radius_rain*COS(2*AY2-AZ3)</f>
        <v>37.046690402673178</v>
      </c>
      <c r="AZ9">
        <f>radius_rain*SIN(2*AY2-AZ3)</f>
        <v>33.578903052489416</v>
      </c>
    </row>
    <row r="10" spans="1:52" x14ac:dyDescent="0.25">
      <c r="O10">
        <f>radius_rain*COS(-PI()+4*O2-P3)</f>
        <v>37.471982807296534</v>
      </c>
      <c r="P10">
        <f>-radius_rain*SIN(PI()-4*O2+P3)</f>
        <v>-33.103632798979525</v>
      </c>
      <c r="Q10">
        <f>radius_rain*COS(-PI()+4*Q2-R3)</f>
        <v>36.66260506018218</v>
      </c>
      <c r="R10">
        <f>-radius_rain*SIN(PI()-4*Q2+R3)</f>
        <v>-33.997843905181753</v>
      </c>
      <c r="S10">
        <f>radius_rain*COS(-PI()+4*S2-T3)</f>
        <v>35.803767260540816</v>
      </c>
      <c r="T10">
        <f>-radius_rain*SIN(PI()-4*S2+T3)</f>
        <v>-34.901149693857157</v>
      </c>
      <c r="U10">
        <f>radius_rain*COS(-PI()+4*U2-V3)</f>
        <v>34.894691507665911</v>
      </c>
      <c r="V10">
        <f>-radius_rain*SIN(PI()-4*U2+V3)</f>
        <v>-35.810061499316483</v>
      </c>
      <c r="W10">
        <f>radius_rain*COS(-PI()+4*W2-X3)</f>
        <v>33.934733228431838</v>
      </c>
      <c r="X10">
        <f>-radius_rain*SIN(PI()-4*W2+X3)</f>
        <v>-36.721027773132434</v>
      </c>
      <c r="Y10">
        <f>radius_rain*COS(-PI()+4*Y2-Z3)</f>
        <v>32.923391408713989</v>
      </c>
      <c r="Z10">
        <f>-radius_rain*SIN(PI()-4*Y2+Z3)</f>
        <v>-37.630443767628066</v>
      </c>
      <c r="AA10">
        <f>radius_rain*COS(-PI()+4*AA2-AB3)</f>
        <v>31.860317915896395</v>
      </c>
      <c r="AB10">
        <f>-radius_rain*SIN(PI()-4*AA2+AB3)</f>
        <v>-38.534661569786891</v>
      </c>
      <c r="AC10">
        <f>radius_rain*COS(-PI()+4*AC2-AD3)</f>
        <v>30.745325884602348</v>
      </c>
      <c r="AD10">
        <f>-radius_rain*SIN(PI()-4*AC2+AD3)</f>
        <v>-39.43000045967031</v>
      </c>
      <c r="AE10">
        <f>radius_rain*COS(-PI()+4*AE2-AF3)</f>
        <v>29.578397144495899</v>
      </c>
      <c r="AF10">
        <f>-radius_rain*SIN(PI()-4*AE2+AF3)</f>
        <v>-40.31275756336295</v>
      </c>
      <c r="AG10">
        <f>radius_rain*COS(-PI()+4*AG2-AH3)</f>
        <v>28.359688675141232</v>
      </c>
      <c r="AH10">
        <f>-radius_rain*SIN(PI()-4*AG2+AH3)</f>
        <v>-41.179218766861837</v>
      </c>
      <c r="AI10">
        <f>radius_rain*COS(-PI()+4*AI2-AJ3)</f>
        <v>27.089538078503228</v>
      </c>
      <c r="AJ10">
        <f>-radius_rain*SIN(PI()-4*AI2+AJ3)</f>
        <v>-42.025669854189402</v>
      </c>
      <c r="AK10">
        <f>radius_rain*COS(-PI()+4*AK2-AL3)</f>
        <v>25.768468064780642</v>
      </c>
      <c r="AL10">
        <f>-radius_rain*SIN(PI()-4*AK2+AL3)</f>
        <v>-42.848407830331112</v>
      </c>
      <c r="AM10">
        <f>radius_rain*COS(-PI()+4*AM2-AN3)</f>
        <v>24.397189951920055</v>
      </c>
      <c r="AN10">
        <f>-radius_rain*SIN(PI()-4*AM2+AN3)</f>
        <v>-43.643752387368473</v>
      </c>
      <c r="AO10">
        <f>radius_rain*COS(-PI()+4*AO2-AP3)</f>
        <v>22.97660618341278</v>
      </c>
      <c r="AP10">
        <f>-radius_rain*SIN(PI()-4*AO2+AP3)</f>
        <v>-44.408057470377578</v>
      </c>
      <c r="AQ10">
        <f>radius_rain*COS(-PI()+4*AQ2-AR3)</f>
        <v>21.507811872870803</v>
      </c>
      <c r="AR10">
        <f>-radius_rain*SIN(PI()-4*AQ2+AR3)</f>
        <v>-45.137722898272102</v>
      </c>
      <c r="AS10">
        <f>radius_rain*COS(-PI()+4*AS2-AT3)</f>
        <v>19.99209538744557</v>
      </c>
      <c r="AT10">
        <f>-radius_rain*SIN(PI()-4*AS2+AT3)</f>
        <v>-45.829205993768618</v>
      </c>
      <c r="AU10">
        <f>radius_rain*COS(-PI()+4*AU2-AV3)</f>
        <v>18.430937985438657</v>
      </c>
      <c r="AV10">
        <f>-radius_rain*SIN(PI()-4*AU2+AV3)</f>
        <v>-46.479033176012969</v>
      </c>
      <c r="AW10">
        <f>radius_rain*COS(-PI()+4*AW2-AX3)</f>
        <v>16.826012526480866</v>
      </c>
      <c r="AX10">
        <f>-radius_rain*SIN(PI()-4*AW2+AX3)</f>
        <v>-47.083811469110152</v>
      </c>
      <c r="AY10">
        <f>radius_rain*COS(-PI()+4*AY2-AZ3)</f>
        <v>15.179181275459767</v>
      </c>
      <c r="AZ10">
        <f>-radius_rain*SIN(PI()-4*AY2+AZ3)</f>
        <v>-47.640239879819369</v>
      </c>
    </row>
    <row r="11" spans="1:52" x14ac:dyDescent="0.25">
      <c r="O11">
        <f>-radius_rain*COS(PI()+P3-6*O2)</f>
        <v>-36.225354299601349</v>
      </c>
      <c r="P11">
        <f>radius_rain*SIN(PI()-6*O2+P3)</f>
        <v>-34.463367593262767</v>
      </c>
      <c r="Q11">
        <f>-radius_rain*COS(PI()+R3-6*Q2)</f>
        <v>-37.57299188302801</v>
      </c>
      <c r="R11">
        <f>radius_rain*SIN(PI()-6*Q2+R3)</f>
        <v>-32.988941798092156</v>
      </c>
      <c r="S11">
        <f>-radius_rain*COS(PI()+T3-6*S2)</f>
        <v>-38.899637893739595</v>
      </c>
      <c r="T11">
        <f>radius_rain*SIN(PI()-6*S2+T3)</f>
        <v>-31.413662182813678</v>
      </c>
      <c r="U11">
        <f>-radius_rain*COS(PI()+V3-6*U2)</f>
        <v>-40.196066353092753</v>
      </c>
      <c r="V11">
        <f>radius_rain*SIN(PI()-6*U2+V3)</f>
        <v>-29.736782773826842</v>
      </c>
      <c r="W11">
        <f>-radius_rain*COS(PI()+X3-6*W2)</f>
        <v>-41.452861970918008</v>
      </c>
      <c r="X11">
        <f>radius_rain*SIN(PI()-6*W2+X3)</f>
        <v>-27.958187252037987</v>
      </c>
      <c r="Y11">
        <f>-radius_rain*COS(PI()+Z3-6*Y2)</f>
        <v>-42.660469013744809</v>
      </c>
      <c r="Z11">
        <f>radius_rain*SIN(PI()-6*Y2+Z3)</f>
        <v>-26.078427550895753</v>
      </c>
      <c r="AA11">
        <f>-radius_rain*COS(PI()+AB3-6*AA2)</f>
        <v>-43.809244194039394</v>
      </c>
      <c r="AB11">
        <f>radius_rain*SIN(PI()-6*AA2+AB3)</f>
        <v>-24.098757709621164</v>
      </c>
      <c r="AC11">
        <f>-radius_rain*COS(PI()+AD3-6*AC2)</f>
        <v>-44.889513239612874</v>
      </c>
      <c r="AD11">
        <f>radius_rain*SIN(PI()-6*AC2+AD3)</f>
        <v>-22.02116257400187</v>
      </c>
      <c r="AE11">
        <f>-radius_rain*COS(PI()+AF3-6*AE2)</f>
        <v>-45.891630748430167</v>
      </c>
      <c r="AF11">
        <f>radius_rain*SIN(PI()-6*AE2+AF3)</f>
        <v>-19.848380973009835</v>
      </c>
      <c r="AG11">
        <f>-radius_rain*COS(PI()+AH3-6*AG2)</f>
        <v>-46.806042884810928</v>
      </c>
      <c r="AH11">
        <f>radius_rain*SIN(PI()-6*AG2+AH3)</f>
        <v>-17.583923039675785</v>
      </c>
      <c r="AI11">
        <f>-radius_rain*COS(PI()+AJ3-6*AI2)</f>
        <v>-47.623352428882058</v>
      </c>
      <c r="AJ11">
        <f>radius_rain*SIN(PI()-6*AI2+AJ3)</f>
        <v>-15.232081388782493</v>
      </c>
      <c r="AK11">
        <f>-radius_rain*COS(PI()+AL3-6*AK2)</f>
        <v>-48.334385652462643</v>
      </c>
      <c r="AL11">
        <f>radius_rain*SIN(PI()-6*AK2+AL3)</f>
        <v>-12.797935911662231</v>
      </c>
      <c r="AM11">
        <f>-radius_rain*COS(PI()+AN3-6*AM2)</f>
        <v>-48.930260461632173</v>
      </c>
      <c r="AN11">
        <f>radius_rain*SIN(PI()-6*AM2+AN3)</f>
        <v>-10.287351999267594</v>
      </c>
      <c r="AO11">
        <f>-radius_rain*COS(PI()+AP3-6*AO2)</f>
        <v>-49.402455219279837</v>
      </c>
      <c r="AP11">
        <f>radius_rain*SIN(PI()-6*AO2+AP3)</f>
        <v>-7.7069720582762073</v>
      </c>
      <c r="AQ11">
        <f>-radius_rain*COS(PI()+AR3-6*AQ2)</f>
        <v>-49.742877640132491</v>
      </c>
      <c r="AR11">
        <f>radius_rain*SIN(PI()-6*AQ2+AR3)</f>
        <v>-5.0642002407889963</v>
      </c>
      <c r="AS11">
        <f>-radius_rain*COS(PI()+AT3-6*AS2)</f>
        <v>-49.943933136232268</v>
      </c>
      <c r="AT11">
        <f>radius_rain*SIN(PI()-6*AS2+AT3)</f>
        <v>-2.3671803656588688</v>
      </c>
      <c r="AU11">
        <f>-radius_rain*COS(PI()+AV3-6*AU2)</f>
        <v>-49.998591982643113</v>
      </c>
      <c r="AV11">
        <f>radius_rain*SIN(PI()-6*AU2+AV3)</f>
        <v>0.37523293189108936</v>
      </c>
      <c r="AW11">
        <f>-radius_rain*COS(PI()+AX3-6*AW2)</f>
        <v>-49.900454671323814</v>
      </c>
      <c r="AX11">
        <f>radius_rain*SIN(PI()-6*AW2+AX3)</f>
        <v>3.1535097265043639</v>
      </c>
      <c r="AY11">
        <f>-radius_rain*COS(PI()+AZ3-6*AY2)</f>
        <v>-49.643814825570395</v>
      </c>
      <c r="AZ11">
        <f>radius_rain*SIN(PI()-6*AY2+AZ3)</f>
        <v>5.9574868497108309</v>
      </c>
    </row>
    <row r="12" spans="1:52" x14ac:dyDescent="0.25">
      <c r="O12">
        <v>-200</v>
      </c>
      <c r="P12">
        <f>P11-TAN(PI()-6*O2+2*P3)*(-200-O11)</f>
        <v>-69.434447605499784</v>
      </c>
      <c r="Q12">
        <v>-200</v>
      </c>
      <c r="R12">
        <f t="shared" ref="R12" si="55">R11-TAN(PI()-6*Q2+2*R3)*(-200-Q11)</f>
        <v>-62.202970053237308</v>
      </c>
      <c r="S12">
        <v>-200</v>
      </c>
      <c r="T12">
        <f t="shared" ref="T12" si="56">T11-TAN(PI()-6*S2+2*T3)*(-200-S11)</f>
        <v>-54.833401660289155</v>
      </c>
      <c r="U12">
        <v>-200</v>
      </c>
      <c r="V12">
        <f t="shared" ref="V12" si="57">V11-TAN(PI()-6*U2+2*V3)*(-200-U11)</f>
        <v>-47.325712698620585</v>
      </c>
      <c r="W12">
        <v>-200</v>
      </c>
      <c r="X12">
        <f t="shared" ref="X12" si="58">X11-TAN(PI()-6*W2+2*X3)*(-200-W11)</f>
        <v>-39.676797292387981</v>
      </c>
      <c r="Y12">
        <v>-200</v>
      </c>
      <c r="Z12">
        <f t="shared" ref="Z12" si="59">Z11-TAN(PI()-6*Y2+2*Z3)*(-200-Y11)</f>
        <v>-31.88039013724368</v>
      </c>
      <c r="AA12">
        <v>-200</v>
      </c>
      <c r="AB12">
        <f t="shared" ref="AB12" si="60">AB11-TAN(PI()-6*AA2+2*AB3)*(-200-AA11)</f>
        <v>-23.926946069432962</v>
      </c>
      <c r="AC12">
        <v>-200</v>
      </c>
      <c r="AD12">
        <f t="shared" ref="AD12" si="61">AD11-TAN(PI()-6*AC2+2*AD3)*(-200-AC11)</f>
        <v>-15.803469405902863</v>
      </c>
      <c r="AE12">
        <v>-200</v>
      </c>
      <c r="AF12">
        <f t="shared" ref="AF12" si="62">AF11-TAN(PI()-6*AE2+2*AF3)*(-200-AE11)</f>
        <v>-7.4932783413435207</v>
      </c>
      <c r="AG12">
        <v>-200</v>
      </c>
      <c r="AH12">
        <f t="shared" ref="AH12" si="63">AH11-TAN(PI()-6*AG2+2*AH3)*(-200-AG11)</f>
        <v>1.0243128398083847</v>
      </c>
      <c r="AI12">
        <v>-200</v>
      </c>
      <c r="AJ12">
        <f t="shared" ref="AJ12" si="64">AJ11-TAN(PI()-6*AI2+2*AJ3)*(-200-AI11)</f>
        <v>9.774414691169806</v>
      </c>
      <c r="AK12">
        <v>-200</v>
      </c>
      <c r="AL12">
        <f t="shared" ref="AL12" si="65">AL11-TAN(PI()-6*AK2+2*AL3)*(-200-AK11)</f>
        <v>18.787112926746737</v>
      </c>
      <c r="AM12">
        <v>-200</v>
      </c>
      <c r="AN12">
        <f t="shared" ref="AN12" si="66">AN11-TAN(PI()-6*AM2+2*AN3)*(-200-AM11)</f>
        <v>28.098181850169695</v>
      </c>
      <c r="AO12">
        <v>-200</v>
      </c>
      <c r="AP12">
        <f t="shared" ref="AP12" si="67">AP11-TAN(PI()-6*AO2+2*AP3)*(-200-AO11)</f>
        <v>37.750005043775033</v>
      </c>
      <c r="AQ12">
        <v>-200</v>
      </c>
      <c r="AR12">
        <f t="shared" ref="AR12" si="68">AR11-TAN(PI()-6*AQ2+2*AR3)*(-200-AQ11)</f>
        <v>47.792762107174262</v>
      </c>
      <c r="AS12">
        <v>-200</v>
      </c>
      <c r="AT12">
        <f t="shared" ref="AT12" si="69">AT11-TAN(PI()-6*AS2+2*AT3)*(-200-AS11)</f>
        <v>58.28596087679054</v>
      </c>
      <c r="AU12">
        <v>-200</v>
      </c>
      <c r="AV12">
        <f t="shared" ref="AV12" si="70">AV11-TAN(PI()-6*AU2+2*AV3)*(-200-AU11)</f>
        <v>69.300423941802308</v>
      </c>
      <c r="AW12">
        <v>-200</v>
      </c>
      <c r="AX12">
        <f t="shared" ref="AX12" si="71">AX11-TAN(PI()-6*AW2+2*AX3)*(-200-AW11)</f>
        <v>80.920880604157418</v>
      </c>
      <c r="AY12">
        <v>-200</v>
      </c>
      <c r="AZ12">
        <f t="shared" ref="AZ12" si="72">AZ11-TAN(PI()-6*AY2+2*AZ3)*(-200-AY11)</f>
        <v>93.249377285322922</v>
      </c>
    </row>
    <row r="14" spans="1:52" x14ac:dyDescent="0.25">
      <c r="O14">
        <f>x_source</f>
        <v>-104</v>
      </c>
      <c r="P14">
        <f>y_source</f>
        <v>0</v>
      </c>
      <c r="Q14">
        <f>x_source</f>
        <v>-104</v>
      </c>
      <c r="R14">
        <f>y_source</f>
        <v>0</v>
      </c>
      <c r="S14">
        <f>x_source</f>
        <v>-104</v>
      </c>
      <c r="T14">
        <f>y_source</f>
        <v>0</v>
      </c>
      <c r="U14">
        <f>x_source</f>
        <v>-104</v>
      </c>
      <c r="V14">
        <f>y_source</f>
        <v>0</v>
      </c>
      <c r="W14">
        <f>x_source</f>
        <v>-104</v>
      </c>
      <c r="X14">
        <f>y_source</f>
        <v>0</v>
      </c>
      <c r="Y14">
        <f>x_source</f>
        <v>-104</v>
      </c>
      <c r="Z14">
        <f>y_source</f>
        <v>0</v>
      </c>
      <c r="AA14">
        <f>x_source</f>
        <v>-104</v>
      </c>
      <c r="AB14">
        <f>y_source</f>
        <v>0</v>
      </c>
      <c r="AC14">
        <f>x_source</f>
        <v>-104</v>
      </c>
      <c r="AD14">
        <f>y_source</f>
        <v>0</v>
      </c>
      <c r="AE14">
        <f>x_source</f>
        <v>-104</v>
      </c>
      <c r="AF14">
        <f>y_source</f>
        <v>0</v>
      </c>
      <c r="AG14">
        <f>x_source</f>
        <v>-104</v>
      </c>
      <c r="AH14">
        <f>y_source</f>
        <v>0</v>
      </c>
      <c r="AI14">
        <f>x_source</f>
        <v>-104</v>
      </c>
      <c r="AJ14">
        <f>y_source</f>
        <v>0</v>
      </c>
      <c r="AK14">
        <f>x_source</f>
        <v>-104</v>
      </c>
      <c r="AL14">
        <f>y_source</f>
        <v>0</v>
      </c>
      <c r="AM14">
        <f>x_source</f>
        <v>-104</v>
      </c>
      <c r="AN14">
        <f>y_source</f>
        <v>0</v>
      </c>
      <c r="AO14">
        <f>x_source</f>
        <v>-104</v>
      </c>
      <c r="AP14">
        <f>y_source</f>
        <v>0</v>
      </c>
      <c r="AQ14">
        <f>x_source</f>
        <v>-104</v>
      </c>
      <c r="AR14">
        <f>y_source</f>
        <v>0</v>
      </c>
      <c r="AS14">
        <f>x_source</f>
        <v>-104</v>
      </c>
      <c r="AT14">
        <f>y_source</f>
        <v>0</v>
      </c>
      <c r="AU14">
        <f>x_source</f>
        <v>-104</v>
      </c>
      <c r="AV14">
        <f>y_source</f>
        <v>0</v>
      </c>
      <c r="AW14">
        <f>x_source</f>
        <v>-104</v>
      </c>
      <c r="AX14">
        <f>y_source</f>
        <v>0</v>
      </c>
      <c r="AY14">
        <f>x_source</f>
        <v>-104</v>
      </c>
      <c r="AZ14">
        <f>y_source</f>
        <v>0</v>
      </c>
    </row>
    <row r="15" spans="1:52" x14ac:dyDescent="0.25">
      <c r="O15">
        <f>-radius_rain*COS(P3)</f>
        <v>-42.623481511564648</v>
      </c>
      <c r="P15">
        <f>radius_rain*SIN(P3)</f>
        <v>26.138837461396534</v>
      </c>
      <c r="Q15">
        <f>-radius_rain*COS(R3)</f>
        <v>-42.819286995326358</v>
      </c>
      <c r="R15">
        <f>radius_rain*SIN(R3)</f>
        <v>25.816829030922346</v>
      </c>
      <c r="S15">
        <f>-radius_rain*COS(T3)</f>
        <v>-43.014211324254617</v>
      </c>
      <c r="T15">
        <f>radius_rain*SIN(T3)</f>
        <v>25.490736045716016</v>
      </c>
      <c r="U15">
        <f>-radius_rain*COS(V3)</f>
        <v>-43.208132198564172</v>
      </c>
      <c r="V15">
        <f>radius_rain*SIN(V3)</f>
        <v>25.160630197024126</v>
      </c>
      <c r="W15">
        <f>-radius_rain*COS(X3)</f>
        <v>-43.400931235637827</v>
      </c>
      <c r="X15">
        <f>radius_rain*SIN(X3)</f>
        <v>24.826581880706758</v>
      </c>
      <c r="Y15">
        <f>-radius_rain*COS(Z3)</f>
        <v>-43.592493790907945</v>
      </c>
      <c r="Z15">
        <f>radius_rain*SIN(Z3)</f>
        <v>24.48866033676919</v>
      </c>
      <c r="AA15">
        <f>-radius_rain*COS(AB3)</f>
        <v>-43.782708792389265</v>
      </c>
      <c r="AB15">
        <f>radius_rain*SIN(AB3)</f>
        <v>24.146933776379143</v>
      </c>
      <c r="AC15">
        <f>-radius_rain*COS(AD3)</f>
        <v>-43.971468587674451</v>
      </c>
      <c r="AD15">
        <f>radius_rain*SIN(AD3)</f>
        <v>23.801469497557477</v>
      </c>
      <c r="AE15">
        <f>-radius_rain*COS(AF3)</f>
        <v>-44.15866880232317</v>
      </c>
      <c r="AF15">
        <f>radius_rain*SIN(AF3)</f>
        <v>23.452333990601666</v>
      </c>
      <c r="AG15">
        <f>-radius_rain*COS(AH3)</f>
        <v>-44.344208208681749</v>
      </c>
      <c r="AH15">
        <f>radius_rain*SIN(AH3)</f>
        <v>23.099593034187468</v>
      </c>
      <c r="AI15">
        <f>-radius_rain*COS(AJ3)</f>
        <v>-44.527988604264102</v>
      </c>
      <c r="AJ15">
        <f>radius_rain*SIN(AJ3)</f>
        <v>22.743311782995161</v>
      </c>
      <c r="AK15">
        <f>-radius_rain*COS(AL3)</f>
        <v>-44.709914698908477</v>
      </c>
      <c r="AL15">
        <f>radius_rain*SIN(AL3)</f>
        <v>22.3835548476181</v>
      </c>
      <c r="AM15">
        <f>-radius_rain*COS(AN3)</f>
        <v>-44.889894009998571</v>
      </c>
      <c r="AN15">
        <f>radius_rain*SIN(AN3)</f>
        <v>22.020386367434483</v>
      </c>
      <c r="AO15">
        <f>-radius_rain*COS(AP3)</f>
        <v>-45.067836765104218</v>
      </c>
      <c r="AP15">
        <f>radius_rain*SIN(AP3)</f>
        <v>21.653870077053679</v>
      </c>
      <c r="AQ15">
        <f>-radius_rain*COS(AR3)</f>
        <v>-45.243655811455874</v>
      </c>
      <c r="AR15">
        <f>radius_rain*SIN(AR3)</f>
        <v>21.284069366888353</v>
      </c>
      <c r="AS15">
        <f>-radius_rain*COS(AT3)</f>
        <v>-45.417266531720344</v>
      </c>
      <c r="AT15">
        <f>radius_rain*SIN(AT3)</f>
        <v>20.911047338349061</v>
      </c>
      <c r="AU15">
        <f>-radius_rain*COS(AV3)</f>
        <v>-45.588586765592723</v>
      </c>
      <c r="AV15">
        <f>radius_rain*SIN(AV3)</f>
        <v>20.534866854109975</v>
      </c>
      <c r="AW15">
        <f>-radius_rain*COS(AX3)</f>
        <v>-45.757536736762255</v>
      </c>
      <c r="AX15">
        <f>radius_rain*SIN(AX3)</f>
        <v>20.15559058385173</v>
      </c>
      <c r="AY15">
        <f>-radius_rain*COS(AZ3)</f>
        <v>-45.924038984848366</v>
      </c>
      <c r="AZ15">
        <f>radius_rain*SIN(AZ3)</f>
        <v>19.773281045848911</v>
      </c>
    </row>
    <row r="16" spans="1:52" x14ac:dyDescent="0.25">
      <c r="A16" s="27" t="s">
        <v>211</v>
      </c>
      <c r="B16" s="26"/>
      <c r="C16" s="26"/>
      <c r="D16" s="26"/>
      <c r="E16" s="26"/>
      <c r="F16" s="26"/>
      <c r="O16">
        <f>radius_rain*COS(2*P2-P3)</f>
        <v>29.733012887410261</v>
      </c>
      <c r="P16">
        <f>radius_rain*SIN(2*P2-P3)</f>
        <v>40.198855016493887</v>
      </c>
      <c r="Q16">
        <f>radius_rain*COS(2*R2-R3)</f>
        <v>30.065344796391557</v>
      </c>
      <c r="R16">
        <f>radius_rain*SIN(2*R2-R3)</f>
        <v>39.950907903001294</v>
      </c>
      <c r="S16">
        <f>radius_rain*COS(2*T2-T3)</f>
        <v>30.41040268879059</v>
      </c>
      <c r="T16">
        <f>radius_rain*SIN(2*T2-T3)</f>
        <v>39.688882678976967</v>
      </c>
      <c r="U16">
        <f>radius_rain*COS(2*V2-V3)</f>
        <v>30.767428158895981</v>
      </c>
      <c r="V16">
        <f>radius_rain*SIN(2*V2-V3)</f>
        <v>39.412756367541398</v>
      </c>
      <c r="W16">
        <f>radius_rain*COS(2*X2-X3)</f>
        <v>31.135659455088593</v>
      </c>
      <c r="X16">
        <f>radius_rain*SIN(2*X2-X3)</f>
        <v>39.122508997976503</v>
      </c>
      <c r="Y16">
        <f>radius_rain*COS(2*Z2-Z3)</f>
        <v>31.514333407097006</v>
      </c>
      <c r="Z16">
        <f>radius_rain*SIN(2*Z2-Z3)</f>
        <v>38.818124502689841</v>
      </c>
      <c r="AA16">
        <f>radius_rain*COS(2*AB2-AB3)</f>
        <v>31.902687188356033</v>
      </c>
      <c r="AB16">
        <f>radius_rain*SIN(2*AB2-AB3)</f>
        <v>38.499591558377652</v>
      </c>
      <c r="AC16">
        <f>radius_rain*COS(2*AD2-AD3)</f>
        <v>32.299959921623078</v>
      </c>
      <c r="AD16">
        <f>radius_rain*SIN(2*AD2-AD3)</f>
        <v>38.166904368333867</v>
      </c>
      <c r="AE16">
        <f>radius_rain*COS(2*AF2-AF3)</f>
        <v>32.70539413652407</v>
      </c>
      <c r="AF16">
        <f>radius_rain*SIN(2*AF2-AF3)</f>
        <v>37.820063384063978</v>
      </c>
      <c r="AG16">
        <f>radius_rain*COS(2*AH2-AH3)</f>
        <v>33.118237088018645</v>
      </c>
      <c r="AH16">
        <f>radius_rain*SIN(2*AH2-AH3)</f>
        <v>37.459075965402384</v>
      </c>
      <c r="AI16">
        <f>radius_rain*COS(2*AJ2-AJ3)</f>
        <v>33.537741944924385</v>
      </c>
      <c r="AJ16">
        <f>radius_rain*SIN(2*AJ2-AJ3)</f>
        <v>37.083956979206789</v>
      </c>
      <c r="AK16">
        <f>radius_rain*COS(2*AL2-AL3)</f>
        <v>33.963168857642209</v>
      </c>
      <c r="AL16">
        <f>radius_rain*SIN(2*AL2-AL3)</f>
        <v>36.694729337430495</v>
      </c>
      <c r="AM16">
        <f>radius_rain*COS(2*AN2-AN3)</f>
        <v>34.393785914108108</v>
      </c>
      <c r="AN16">
        <f>radius_rain*SIN(2*AN2-AN3)</f>
        <v>36.291424475962621</v>
      </c>
      <c r="AO16">
        <f>radius_rain*COS(2*AP2-AP3)</f>
        <v>34.828869992778678</v>
      </c>
      <c r="AP16">
        <f>radius_rain*SIN(2*AP2-AP3)</f>
        <v>35.874082776095072</v>
      </c>
      <c r="AQ16">
        <f>radius_rain*COS(2*AR2-AR3)</f>
        <v>35.267707521162315</v>
      </c>
      <c r="AR16">
        <f>radius_rain*SIN(2*AR2-AR3)</f>
        <v>35.442753930835444</v>
      </c>
      <c r="AS16">
        <f>radius_rain*COS(2*AT2-AT3)</f>
        <v>35.709595148051278</v>
      </c>
      <c r="AT16">
        <f>radius_rain*SIN(2*AT2-AT3)</f>
        <v>34.99749725855083</v>
      </c>
      <c r="AU16">
        <f>radius_rain*COS(2*AV2-AV3)</f>
        <v>36.153840337208699</v>
      </c>
      <c r="AV16">
        <f>radius_rain*SIN(2*AV2-AV3)</f>
        <v>34.538381966612462</v>
      </c>
      <c r="AW16">
        <f>radius_rain*COS(2*AX2-AX3)</f>
        <v>36.599761889833218</v>
      </c>
      <c r="AX16">
        <f>radius_rain*SIN(2*AX2-AX3)</f>
        <v>34.065487367825988</v>
      </c>
      <c r="AY16">
        <f>radius_rain*COS(2*AZ2-AZ3)</f>
        <v>37.046690402673178</v>
      </c>
      <c r="AZ16">
        <f>radius_rain*SIN(2*AZ2-AZ3)</f>
        <v>33.578903052489416</v>
      </c>
    </row>
    <row r="17" spans="1:52" x14ac:dyDescent="0.25">
      <c r="A17" s="26"/>
      <c r="B17" s="26"/>
      <c r="C17" s="26"/>
      <c r="D17" s="26"/>
      <c r="E17" s="26"/>
      <c r="F17" s="26"/>
      <c r="O17">
        <f>radius_rain*COS(-PI()+4*O2-P3)</f>
        <v>37.471982807296534</v>
      </c>
      <c r="P17">
        <f>-radius_rain*SIN(PI()-4*O2+P3)</f>
        <v>-33.103632798979525</v>
      </c>
      <c r="Q17">
        <f>radius_rain*COS(-PI()+4*Q2-R3)</f>
        <v>36.66260506018218</v>
      </c>
      <c r="R17">
        <f>-radius_rain*SIN(PI()-4*Q2+R3)</f>
        <v>-33.997843905181753</v>
      </c>
      <c r="S17">
        <f>radius_rain*COS(-PI()+4*S2-T3)</f>
        <v>35.803767260540816</v>
      </c>
      <c r="T17">
        <f>-radius_rain*SIN(PI()-4*S2+T3)</f>
        <v>-34.901149693857157</v>
      </c>
      <c r="U17">
        <f>radius_rain*COS(-PI()+4*U2-V3)</f>
        <v>34.894691507665911</v>
      </c>
      <c r="V17">
        <f>-radius_rain*SIN(PI()-4*U2+V3)</f>
        <v>-35.810061499316483</v>
      </c>
      <c r="W17">
        <f>radius_rain*COS(-PI()+4*W2-X3)</f>
        <v>33.934733228431838</v>
      </c>
      <c r="X17">
        <f>-radius_rain*SIN(PI()-4*W2+X3)</f>
        <v>-36.721027773132434</v>
      </c>
      <c r="Y17">
        <f>radius_rain*COS(-PI()+4*Y2-Z3)</f>
        <v>32.923391408713989</v>
      </c>
      <c r="Z17">
        <f>-radius_rain*SIN(PI()-4*Y2+Z3)</f>
        <v>-37.630443767628066</v>
      </c>
      <c r="AA17">
        <f>radius_rain*COS(-PI()+4*AA2-AB3)</f>
        <v>31.860317915896395</v>
      </c>
      <c r="AB17">
        <f>-radius_rain*SIN(PI()-4*AA2+AB3)</f>
        <v>-38.534661569786891</v>
      </c>
      <c r="AC17">
        <f>radius_rain*COS(-PI()+4*AC2-AD3)</f>
        <v>30.745325884602348</v>
      </c>
      <c r="AD17">
        <f>-radius_rain*SIN(PI()-4*AC2+AD3)</f>
        <v>-39.43000045967031</v>
      </c>
      <c r="AE17">
        <f>radius_rain*COS(-PI()+4*AE2-AF3)</f>
        <v>29.578397144495899</v>
      </c>
      <c r="AF17">
        <f>-radius_rain*SIN(PI()-4*AE2+AF3)</f>
        <v>-40.31275756336295</v>
      </c>
      <c r="AG17">
        <f>radius_rain*COS(-PI()+4*AG2-AH3)</f>
        <v>28.359688675141232</v>
      </c>
      <c r="AH17">
        <f>-radius_rain*SIN(PI()-4*AG2+AH3)</f>
        <v>-41.179218766861837</v>
      </c>
      <c r="AI17">
        <f>radius_rain*COS(-PI()+4*AI2-AJ3)</f>
        <v>27.089538078503228</v>
      </c>
      <c r="AJ17">
        <f>-radius_rain*SIN(PI()-4*AI2+AJ3)</f>
        <v>-42.025669854189402</v>
      </c>
      <c r="AK17">
        <f>radius_rain*COS(-PI()+4*AK2-AL3)</f>
        <v>25.768468064780642</v>
      </c>
      <c r="AL17">
        <f>-radius_rain*SIN(PI()-4*AK2+AL3)</f>
        <v>-42.848407830331112</v>
      </c>
      <c r="AM17">
        <f>radius_rain*COS(-PI()+4*AM2-AN3)</f>
        <v>24.397189951920055</v>
      </c>
      <c r="AN17">
        <f>-radius_rain*SIN(PI()-4*AM2+AN3)</f>
        <v>-43.643752387368473</v>
      </c>
      <c r="AO17">
        <f>radius_rain*COS(-PI()+4*AO2-AP3)</f>
        <v>22.97660618341278</v>
      </c>
      <c r="AP17">
        <f>-radius_rain*SIN(PI()-4*AO2+AP3)</f>
        <v>-44.408057470377578</v>
      </c>
      <c r="AQ17">
        <f>radius_rain*COS(-PI()+4*AQ2-AR3)</f>
        <v>21.507811872870803</v>
      </c>
      <c r="AR17">
        <f>-radius_rain*SIN(PI()-4*AQ2+AR3)</f>
        <v>-45.137722898272102</v>
      </c>
      <c r="AS17">
        <f>radius_rain*COS(-PI()+4*AS2-AT3)</f>
        <v>19.99209538744557</v>
      </c>
      <c r="AT17">
        <f>-radius_rain*SIN(PI()-4*AS2+AT3)</f>
        <v>-45.829205993768618</v>
      </c>
      <c r="AU17">
        <f>radius_rain*COS(-PI()+4*AU2-AV3)</f>
        <v>18.430937985438657</v>
      </c>
      <c r="AV17">
        <f>-radius_rain*SIN(PI()-4*AU2+AV3)</f>
        <v>-46.479033176012969</v>
      </c>
      <c r="AW17">
        <f>radius_rain*COS(-PI()+4*AW2-AX3)</f>
        <v>16.826012526480866</v>
      </c>
      <c r="AX17">
        <f>-radius_rain*SIN(PI()-4*AW2+AX3)</f>
        <v>-47.083811469110152</v>
      </c>
      <c r="AY17">
        <f>radius_rain*COS(-PI()+4*AY2-AZ3)</f>
        <v>15.179181275459767</v>
      </c>
      <c r="AZ17">
        <f>-radius_rain*SIN(PI()-4*AY2+AZ3)</f>
        <v>-47.640239879819369</v>
      </c>
    </row>
    <row r="18" spans="1:52" x14ac:dyDescent="0.25">
      <c r="A18" s="26"/>
      <c r="B18" s="26"/>
      <c r="C18" s="26"/>
      <c r="D18" s="26"/>
      <c r="E18" s="26"/>
      <c r="F18" s="26"/>
      <c r="O18">
        <v>-200</v>
      </c>
      <c r="P18">
        <f>P17-TAN(-4*O2+P3+P5)*(-200-O17)</f>
        <v>-891.83585755692661</v>
      </c>
      <c r="Q18">
        <v>-200</v>
      </c>
      <c r="R18">
        <f t="shared" ref="R18" si="73">R17-TAN(-4*Q2+R3+R5)*(-200-Q17)</f>
        <v>-868.10747068377725</v>
      </c>
      <c r="S18">
        <v>-200</v>
      </c>
      <c r="T18">
        <f t="shared" ref="T18" si="74">T17-TAN(-4*S2+T3+T5)*(-200-S17)</f>
        <v>-842.93057080740084</v>
      </c>
      <c r="U18">
        <v>-200</v>
      </c>
      <c r="V18">
        <f t="shared" ref="V18" si="75">V17-TAN(-4*U2+V3+V5)*(-200-U17)</f>
        <v>-816.6880252083439</v>
      </c>
      <c r="W18">
        <v>-200</v>
      </c>
      <c r="X18">
        <f t="shared" ref="X18" si="76">X17-TAN(-4*W2+X3+X5)*(-200-W17)</f>
        <v>-789.72989215690461</v>
      </c>
      <c r="Y18">
        <v>-200</v>
      </c>
      <c r="Z18">
        <f t="shared" ref="Z18" si="77">Z17-TAN(-4*Y2+Z3+Z5)*(-200-Y17)</f>
        <v>-762.3684384548219</v>
      </c>
      <c r="AA18">
        <v>-200</v>
      </c>
      <c r="AB18">
        <f t="shared" ref="AB18" si="78">AB17-TAN(-4*AA2+AB3+AB5)*(-200-AA17)</f>
        <v>-734.87583259239307</v>
      </c>
      <c r="AC18">
        <v>-200</v>
      </c>
      <c r="AD18">
        <f t="shared" ref="AD18" si="79">AD17-TAN(-4*AC2+AD3+AD5)*(-200-AC17)</f>
        <v>-707.48400675053881</v>
      </c>
      <c r="AE18">
        <v>-200</v>
      </c>
      <c r="AF18">
        <f t="shared" ref="AF18" si="80">AF17-TAN(-4*AE2+AF3+AF5)*(-200-AE17)</f>
        <v>-680.38615717326536</v>
      </c>
      <c r="AG18">
        <v>-200</v>
      </c>
      <c r="AH18">
        <f t="shared" ref="AH18" si="81">AH17-TAN(-4*AG2+AH3+AH5)*(-200-AG17)</f>
        <v>-653.73938466477773</v>
      </c>
      <c r="AI18">
        <v>-200</v>
      </c>
      <c r="AJ18">
        <f t="shared" ref="AJ18" si="82">AJ17-TAN(-4*AI2+AJ3+AJ5)*(-200-AI17)</f>
        <v>-627.66804280279462</v>
      </c>
      <c r="AK18">
        <v>-200</v>
      </c>
      <c r="AL18">
        <f t="shared" ref="AL18" si="83">AL17-TAN(-4*AK2+AL3+AL5)*(-200-AK17)</f>
        <v>-602.26744244476515</v>
      </c>
      <c r="AM18">
        <v>-200</v>
      </c>
      <c r="AN18">
        <f t="shared" ref="AN18" si="84">AN17-TAN(-4*AM2+AN3+AN5)*(-200-AM17)</f>
        <v>-577.60764382253024</v>
      </c>
      <c r="AO18">
        <v>-200</v>
      </c>
      <c r="AP18">
        <f t="shared" ref="AP18" si="85">AP17-TAN(-4*AO2+AP3+AP5)*(-200-AO17)</f>
        <v>-553.73714345702899</v>
      </c>
      <c r="AQ18">
        <v>-200</v>
      </c>
      <c r="AR18">
        <f t="shared" ref="AR18" si="86">AR17-TAN(-4*AQ2+AR3+AR5)*(-200-AQ17)</f>
        <v>-530.68632779842926</v>
      </c>
      <c r="AS18">
        <v>-200</v>
      </c>
      <c r="AT18">
        <f t="shared" ref="AT18" si="87">AT17-TAN(-4*AS2+AT3+AT5)*(-200-AS17)</f>
        <v>-508.47061737099989</v>
      </c>
      <c r="AU18">
        <v>-200</v>
      </c>
      <c r="AV18">
        <f t="shared" ref="AV18" si="88">AV17-TAN(-4*AU2+AV3+AV5)*(-200-AU17)</f>
        <v>-487.09326464288444</v>
      </c>
      <c r="AW18">
        <v>-200</v>
      </c>
      <c r="AX18">
        <f t="shared" ref="AX18" si="89">AX17-TAN(-4*AW2+AX3+AX5)*(-200-AW17)</f>
        <v>-466.54779727771148</v>
      </c>
      <c r="AY18">
        <v>-200</v>
      </c>
      <c r="AZ18">
        <f t="shared" ref="AZ18" si="90">AZ17-TAN(-4*AY2+AZ3+AZ5)*(-200-AY17)</f>
        <v>-446.82011774393811</v>
      </c>
    </row>
    <row r="19" spans="1:52" ht="15.75" thickBot="1" x14ac:dyDescent="0.3"/>
    <row r="20" spans="1:52" ht="17.25" thickTop="1" thickBot="1" x14ac:dyDescent="0.3">
      <c r="D20">
        <v>104</v>
      </c>
      <c r="L20" s="14" t="s">
        <v>157</v>
      </c>
      <c r="M20" s="15">
        <f>Index_of_ref</f>
        <v>1.33</v>
      </c>
      <c r="P20">
        <f>TAN(-4*P2+P3+P5)</f>
        <v>-3.61614121635052</v>
      </c>
    </row>
    <row r="21" spans="1:52" ht="15.75" thickTop="1" x14ac:dyDescent="0.25"/>
    <row r="22" spans="1:52" ht="15.75" x14ac:dyDescent="0.25">
      <c r="F22">
        <v>200</v>
      </c>
      <c r="L22" s="16">
        <f>SQRT((4-Index_of_ref^2)/3)</f>
        <v>0.86238042649401536</v>
      </c>
      <c r="M22" s="16"/>
    </row>
    <row r="24" spans="1:52" ht="15.75" x14ac:dyDescent="0.25">
      <c r="L24" s="17" t="s">
        <v>158</v>
      </c>
      <c r="M24" s="16"/>
    </row>
    <row r="25" spans="1:52" ht="15.75" x14ac:dyDescent="0.25">
      <c r="L25" s="16">
        <f>ASIN(SIN(RADIANS(L27))/Index_of_ref)</f>
        <v>0.70548920441426477</v>
      </c>
      <c r="M25" s="16"/>
      <c r="O25" t="s">
        <v>204</v>
      </c>
      <c r="P25">
        <f>L22</f>
        <v>0.86238042649401536</v>
      </c>
      <c r="Q25" t="s">
        <v>203</v>
      </c>
      <c r="R25">
        <f>radius_rain/(-x_source)*P25</f>
        <v>0.41460597427596896</v>
      </c>
    </row>
    <row r="26" spans="1:52" ht="15.75" x14ac:dyDescent="0.25">
      <c r="L26" s="17" t="s">
        <v>159</v>
      </c>
      <c r="M26" s="16">
        <f>P26</f>
        <v>0.61244321986114292</v>
      </c>
      <c r="O26" t="s">
        <v>205</v>
      </c>
      <c r="P26">
        <f>L28-R26</f>
        <v>0.61244321986114292</v>
      </c>
      <c r="Q26" t="s">
        <v>29</v>
      </c>
      <c r="R26">
        <f>ASIN(R25)</f>
        <v>0.42750976543355806</v>
      </c>
    </row>
    <row r="27" spans="1:52" ht="15.75" x14ac:dyDescent="0.25">
      <c r="L27" s="16">
        <f>DEGREES(ASIN(L22))</f>
        <v>59.584916949416929</v>
      </c>
      <c r="M27" s="16"/>
      <c r="O27" t="s">
        <v>206</v>
      </c>
      <c r="P27">
        <f>L25</f>
        <v>0.70548920441426477</v>
      </c>
      <c r="R27">
        <f>DEGREES(P27)</f>
        <v>40.421553904979575</v>
      </c>
    </row>
    <row r="28" spans="1:52" ht="15.75" x14ac:dyDescent="0.25">
      <c r="L28" s="16">
        <f>ASIN(L22)</f>
        <v>1.0399529852947009</v>
      </c>
      <c r="M28" s="16" t="s">
        <v>160</v>
      </c>
      <c r="O28" t="s">
        <v>207</v>
      </c>
      <c r="P28">
        <f>R26-(L28-P27)</f>
        <v>9.3045984553121908E-2</v>
      </c>
    </row>
    <row r="29" spans="1:52" ht="15.75" x14ac:dyDescent="0.25">
      <c r="K29" t="s">
        <v>208</v>
      </c>
      <c r="L29" s="17" t="s">
        <v>161</v>
      </c>
      <c r="M29" s="16"/>
      <c r="P29" t="s">
        <v>209</v>
      </c>
      <c r="Q29" s="17" t="s">
        <v>161</v>
      </c>
      <c r="R29" s="16"/>
    </row>
    <row r="30" spans="1:52" ht="15.75" x14ac:dyDescent="0.25">
      <c r="L30" s="16">
        <f>x_source</f>
        <v>-104</v>
      </c>
      <c r="M30" s="16">
        <f>y_source</f>
        <v>0</v>
      </c>
      <c r="P30" s="16">
        <f>x_source</f>
        <v>-104</v>
      </c>
      <c r="Q30" s="16">
        <f>y_source</f>
        <v>0</v>
      </c>
    </row>
    <row r="31" spans="1:52" ht="15.75" x14ac:dyDescent="0.25">
      <c r="L31" s="16">
        <f>-radius_rain*COS(P26)</f>
        <v>-40.912296585542997</v>
      </c>
      <c r="M31" s="16">
        <f>radius_rain*SIN(P26)</f>
        <v>28.743416430490075</v>
      </c>
      <c r="P31" s="16">
        <f>-radius_rain*COS(P26)</f>
        <v>-40.912296585542997</v>
      </c>
      <c r="Q31" s="16">
        <f>radius_rain*SIN(P26)</f>
        <v>28.743416430490075</v>
      </c>
    </row>
    <row r="32" spans="1:52" ht="15.75" x14ac:dyDescent="0.25">
      <c r="L32" s="16">
        <f>radius_rain*COS(2*L25-P26)</f>
        <v>34.887837631798455</v>
      </c>
      <c r="M32" s="16">
        <f>radius_rain*SIN(2*L25-P26)</f>
        <v>35.816738899253068</v>
      </c>
      <c r="O32">
        <f>radius_rain</f>
        <v>50</v>
      </c>
      <c r="P32" s="16">
        <f>radius_rain*COS(2*L25-P26)</f>
        <v>34.887837631798455</v>
      </c>
      <c r="Q32" s="16">
        <f>radius_rain*SIN(2*L25-P26)</f>
        <v>35.816738899253068</v>
      </c>
    </row>
    <row r="33" spans="12:17" ht="15.75" x14ac:dyDescent="0.25">
      <c r="L33" s="16">
        <f>-radius_rain*COS(4*L25-P26)</f>
        <v>29.808303942260395</v>
      </c>
      <c r="M33" s="16">
        <f>-radius_rain*SIN(4*L25-P26)</f>
        <v>-40.143056885167873</v>
      </c>
      <c r="P33" s="16">
        <f>-radius_rain*COS(4*L25-P26)</f>
        <v>29.808303942260395</v>
      </c>
      <c r="Q33" s="16">
        <f>-radius_rain*SIN(4*L25-P26)</f>
        <v>-40.143056885167873</v>
      </c>
    </row>
    <row r="34" spans="12:17" x14ac:dyDescent="0.25">
      <c r="L34">
        <f>-radius_rain*COS(PI()+M26-6*L25)</f>
        <v>-44.37513206307927</v>
      </c>
      <c r="M34">
        <f>radius_rain*SIN(PI()-6*L25+M26)</f>
        <v>-23.040131388172984</v>
      </c>
      <c r="P34">
        <f>-200</f>
        <v>-200</v>
      </c>
      <c r="Q34">
        <f>Q33-TAN(-4*L25+P26+far_point_rad)*(P34-P33)</f>
        <v>-581.82364027514484</v>
      </c>
    </row>
    <row r="35" spans="12:17" x14ac:dyDescent="0.25">
      <c r="L35">
        <v>-200</v>
      </c>
      <c r="M35">
        <f>M34-TAN(PI()-6*L25+2*M26)*(-200-L34)</f>
        <v>-2.13295075919795</v>
      </c>
    </row>
    <row r="37" spans="12:17" ht="15.75" x14ac:dyDescent="0.25">
      <c r="L37" s="17" t="s">
        <v>158</v>
      </c>
      <c r="M37" s="16"/>
    </row>
    <row r="38" spans="12:17" ht="15.75" x14ac:dyDescent="0.25">
      <c r="L38" s="16">
        <f>ASIN(SIN(RADIANS(L40))/Index_of_ref)</f>
        <v>0.62404220932479948</v>
      </c>
      <c r="M38" s="16"/>
    </row>
    <row r="39" spans="12:17" ht="15.75" x14ac:dyDescent="0.25">
      <c r="L39" s="17" t="s">
        <v>162</v>
      </c>
      <c r="M39" s="16"/>
    </row>
    <row r="40" spans="12:17" ht="15.75" x14ac:dyDescent="0.25">
      <c r="L40" s="16">
        <v>51</v>
      </c>
      <c r="M40" s="16"/>
    </row>
    <row r="41" spans="12:17" ht="15.75" x14ac:dyDescent="0.25">
      <c r="L41" s="16">
        <f>RADIANS(L40)</f>
        <v>0.89011791851710809</v>
      </c>
      <c r="M41" s="16">
        <f>RADIANS(M40)</f>
        <v>0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23553" r:id="rId3">
          <objectPr defaultSize="0" autoPict="0" r:id="rId4">
            <anchor moveWithCells="1">
              <from>
                <xdr:col>12</xdr:col>
                <xdr:colOff>85725</xdr:colOff>
                <xdr:row>20</xdr:row>
                <xdr:rowOff>161925</xdr:rowOff>
              </from>
              <to>
                <xdr:col>13</xdr:col>
                <xdr:colOff>228600</xdr:colOff>
                <xdr:row>23</xdr:row>
                <xdr:rowOff>57150</xdr:rowOff>
              </to>
            </anchor>
          </objectPr>
        </oleObject>
      </mc:Choice>
      <mc:Fallback>
        <oleObject progId="Equation.3" shapeId="23553" r:id="rId3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4" r:id="rId5" name="Scroll Bar 2">
              <controlPr defaultSize="0" autoPict="0">
                <anchor moveWithCells="1">
                  <from>
                    <xdr:col>1</xdr:col>
                    <xdr:colOff>171450</xdr:colOff>
                    <xdr:row>16</xdr:row>
                    <xdr:rowOff>19050</xdr:rowOff>
                  </from>
                  <to>
                    <xdr:col>4</xdr:col>
                    <xdr:colOff>409575</xdr:colOff>
                    <xdr:row>17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BR210"/>
  <sheetViews>
    <sheetView zoomScale="80" zoomScaleNormal="80" workbookViewId="0"/>
  </sheetViews>
  <sheetFormatPr defaultRowHeight="15" x14ac:dyDescent="0.25"/>
  <cols>
    <col min="1" max="1" width="10.7109375" bestFit="1" customWidth="1"/>
    <col min="3" max="3" width="10.5703125" bestFit="1" customWidth="1"/>
    <col min="10" max="10" width="10.85546875" customWidth="1"/>
  </cols>
  <sheetData>
    <row r="1" spans="1:54" x14ac:dyDescent="0.25">
      <c r="A1" t="s">
        <v>17</v>
      </c>
      <c r="B1">
        <v>0</v>
      </c>
      <c r="C1" s="13" t="s">
        <v>114</v>
      </c>
      <c r="D1" s="13">
        <v>-37</v>
      </c>
      <c r="E1" s="6" t="s">
        <v>33</v>
      </c>
      <c r="F1" s="6">
        <v>1.96</v>
      </c>
      <c r="H1" t="s">
        <v>9</v>
      </c>
      <c r="I1">
        <f>4*ATAN(1)</f>
        <v>3.1415926535897931</v>
      </c>
      <c r="K1" t="s">
        <v>13</v>
      </c>
      <c r="L1">
        <f>J14</f>
        <v>0.52565385530910291</v>
      </c>
      <c r="M1" t="s">
        <v>13</v>
      </c>
      <c r="N1">
        <f>L14</f>
        <v>0.49122739608478183</v>
      </c>
      <c r="O1" t="s">
        <v>13</v>
      </c>
      <c r="P1">
        <f>N14</f>
        <v>0.4454677596717585</v>
      </c>
      <c r="Q1" t="s">
        <v>13</v>
      </c>
      <c r="R1">
        <f>P14</f>
        <v>0.39246781841701617</v>
      </c>
      <c r="S1" t="s">
        <v>13</v>
      </c>
      <c r="T1">
        <f>R14</f>
        <v>0.3341773701711887</v>
      </c>
      <c r="U1" t="s">
        <v>13</v>
      </c>
      <c r="V1">
        <f>T14</f>
        <v>0.27185723620256202</v>
      </c>
      <c r="W1" t="s">
        <v>13</v>
      </c>
      <c r="X1">
        <f>V14</f>
        <v>0.20647653158695534</v>
      </c>
      <c r="Y1" t="s">
        <v>13</v>
      </c>
      <c r="Z1">
        <f>X14</f>
        <v>0.13886736768190358</v>
      </c>
      <c r="AA1" t="s">
        <v>13</v>
      </c>
      <c r="AB1">
        <f>Z14</f>
        <v>6.9796311431398361E-2</v>
      </c>
      <c r="AC1" t="s">
        <v>13</v>
      </c>
      <c r="AD1" t="s">
        <v>48</v>
      </c>
      <c r="AE1">
        <f>ASIN(SQRT((4-ndd^2)/3))</f>
        <v>0.23185420311436464</v>
      </c>
      <c r="AF1">
        <f>DEGREES(AE1)</f>
        <v>13.284267300822041</v>
      </c>
      <c r="AJ1">
        <f>1/ndd</f>
        <v>0.51020408163265307</v>
      </c>
      <c r="AK1">
        <f>ASIN(AJ1)</f>
        <v>0.53542206307799567</v>
      </c>
      <c r="AL1" t="s">
        <v>56</v>
      </c>
      <c r="AZ1" t="s">
        <v>80</v>
      </c>
    </row>
    <row r="2" spans="1:54" x14ac:dyDescent="0.25">
      <c r="A2" t="s">
        <v>37</v>
      </c>
      <c r="B2" t="s">
        <v>62</v>
      </c>
      <c r="C2" t="s">
        <v>32</v>
      </c>
      <c r="D2">
        <f>RCYCLE2/10</f>
        <v>1</v>
      </c>
      <c r="F2" t="s">
        <v>34</v>
      </c>
      <c r="G2">
        <v>1</v>
      </c>
      <c r="L2" t="s">
        <v>41</v>
      </c>
      <c r="M2">
        <f>M8/RCYCLE2</f>
        <v>0.8</v>
      </c>
      <c r="O2">
        <f>O8/RCYCLE2</f>
        <v>0.7</v>
      </c>
      <c r="Q2">
        <f>Q7/RCYCLE2</f>
        <v>0</v>
      </c>
      <c r="S2">
        <f>S7/RCYCLE2</f>
        <v>0</v>
      </c>
      <c r="U2">
        <f>U7/RCYCLE2</f>
        <v>0</v>
      </c>
      <c r="W2">
        <f>W7/RCYCLE2</f>
        <v>0</v>
      </c>
      <c r="Y2">
        <f>Y7/RCYCLE2</f>
        <v>0</v>
      </c>
      <c r="AA2">
        <f>AA7/RCYCLE2</f>
        <v>0</v>
      </c>
      <c r="AD2" t="s">
        <v>49</v>
      </c>
      <c r="AE2">
        <f>ASIN((RCYCLE2*SQRT((4-ndd^2)/3))/ABS(XARXI2))</f>
        <v>6.2143369767883948E-2</v>
      </c>
      <c r="AF2" t="s">
        <v>50</v>
      </c>
      <c r="AJ2">
        <f>RCYCLE2/ABS(XARXI2)</f>
        <v>0.27027027027027029</v>
      </c>
      <c r="AK2">
        <f>ASIN(AJ2)</f>
        <v>0.27367373771848152</v>
      </c>
      <c r="AL2" t="s">
        <v>50</v>
      </c>
    </row>
    <row r="3" spans="1:54" x14ac:dyDescent="0.25">
      <c r="A3" t="s">
        <v>38</v>
      </c>
      <c r="B3">
        <v>10</v>
      </c>
      <c r="C3" t="s">
        <v>36</v>
      </c>
      <c r="D3">
        <v>0</v>
      </c>
      <c r="F3" t="s">
        <v>35</v>
      </c>
      <c r="G3">
        <f>caera1/nd</f>
        <v>0.66666666666666663</v>
      </c>
      <c r="J3" t="s">
        <v>3</v>
      </c>
      <c r="K3">
        <f>1</f>
        <v>1</v>
      </c>
      <c r="M3">
        <v>2</v>
      </c>
      <c r="N3">
        <f t="shared" ref="N3:AA3" si="0">L3+1</f>
        <v>1</v>
      </c>
      <c r="O3">
        <f t="shared" si="0"/>
        <v>3</v>
      </c>
      <c r="P3">
        <f t="shared" si="0"/>
        <v>2</v>
      </c>
      <c r="Q3">
        <f t="shared" si="0"/>
        <v>4</v>
      </c>
      <c r="R3">
        <f t="shared" si="0"/>
        <v>3</v>
      </c>
      <c r="S3">
        <f t="shared" si="0"/>
        <v>5</v>
      </c>
      <c r="T3">
        <f t="shared" si="0"/>
        <v>4</v>
      </c>
      <c r="U3">
        <f t="shared" si="0"/>
        <v>6</v>
      </c>
      <c r="V3">
        <f t="shared" si="0"/>
        <v>5</v>
      </c>
      <c r="W3">
        <f t="shared" si="0"/>
        <v>7</v>
      </c>
      <c r="X3">
        <f t="shared" si="0"/>
        <v>6</v>
      </c>
      <c r="Y3">
        <f t="shared" si="0"/>
        <v>8</v>
      </c>
      <c r="Z3">
        <f t="shared" si="0"/>
        <v>7</v>
      </c>
      <c r="AA3">
        <f t="shared" si="0"/>
        <v>9</v>
      </c>
      <c r="AD3" t="s">
        <v>51</v>
      </c>
      <c r="AE3">
        <f>AE1-AE2</f>
        <v>0.16971083334648068</v>
      </c>
      <c r="AF3" t="s">
        <v>52</v>
      </c>
      <c r="AK3">
        <f>PI/2-AK2</f>
        <v>1.2971225890764151</v>
      </c>
      <c r="AL3" t="s">
        <v>52</v>
      </c>
    </row>
    <row r="4" spans="1:54" x14ac:dyDescent="0.25">
      <c r="A4" t="s">
        <v>31</v>
      </c>
      <c r="B4">
        <v>1</v>
      </c>
      <c r="K4" t="s">
        <v>10</v>
      </c>
      <c r="M4">
        <v>1</v>
      </c>
      <c r="O4" t="s">
        <v>10</v>
      </c>
      <c r="Q4" t="s">
        <v>10</v>
      </c>
      <c r="S4" t="s">
        <v>10</v>
      </c>
      <c r="U4" t="s">
        <v>10</v>
      </c>
      <c r="W4" t="s">
        <v>10</v>
      </c>
      <c r="Y4" t="s">
        <v>10</v>
      </c>
      <c r="AA4" t="s">
        <v>10</v>
      </c>
      <c r="AE4">
        <f>SQRT((4-ndd^2)/3)/ndd</f>
        <v>0.11723597237832724</v>
      </c>
      <c r="AF4" t="s">
        <v>53</v>
      </c>
      <c r="AK4">
        <f>AJ1</f>
        <v>0.51020408163265307</v>
      </c>
      <c r="AL4" t="s">
        <v>53</v>
      </c>
    </row>
    <row r="5" spans="1:54" x14ac:dyDescent="0.25">
      <c r="Y5">
        <f>ASIN(Y2)</f>
        <v>0</v>
      </c>
      <c r="AA5">
        <f>ASIN(AA2)</f>
        <v>0</v>
      </c>
      <c r="AE5">
        <f>ASIN(AE4)</f>
        <v>0.11750620095303847</v>
      </c>
      <c r="AF5" t="s">
        <v>54</v>
      </c>
      <c r="AK5">
        <f>AK1</f>
        <v>0.53542206307799567</v>
      </c>
      <c r="AL5" t="s">
        <v>54</v>
      </c>
    </row>
    <row r="6" spans="1:54" x14ac:dyDescent="0.25">
      <c r="J6" t="s">
        <v>45</v>
      </c>
      <c r="K6">
        <f>2*L1+J16</f>
        <v>-6.846180438042837E-2</v>
      </c>
      <c r="M6">
        <f>2*N1+L16</f>
        <v>5.5159574167951475E-2</v>
      </c>
      <c r="O6">
        <f>2*P1+N16</f>
        <v>0.11553802273276392</v>
      </c>
      <c r="Q6">
        <f>2*R1+P16</f>
        <v>0.14143452804074796</v>
      </c>
      <c r="S6">
        <f>2*T1+R16</f>
        <v>0.14475596474407859</v>
      </c>
      <c r="U6">
        <f>2*V1+T16</f>
        <v>0.13219762633763604</v>
      </c>
      <c r="W6">
        <f>2*X1+V16</f>
        <v>0.10826040915851315</v>
      </c>
      <c r="Y6">
        <f>2*Z1+X16</f>
        <v>7.6376814573476337E-2</v>
      </c>
      <c r="AA6">
        <f>2*AB1+Z16</f>
        <v>3.9425201701236923E-2</v>
      </c>
      <c r="AE6" t="s">
        <v>55</v>
      </c>
      <c r="AG6" t="s">
        <v>90</v>
      </c>
      <c r="AK6" t="s">
        <v>88</v>
      </c>
    </row>
    <row r="7" spans="1:54" x14ac:dyDescent="0.25">
      <c r="I7" s="7" t="s">
        <v>71</v>
      </c>
      <c r="J7" s="8">
        <f>XARXI2</f>
        <v>-37</v>
      </c>
      <c r="K7" s="9">
        <f>yarxi</f>
        <v>0</v>
      </c>
      <c r="L7">
        <f>XARXI2</f>
        <v>-37</v>
      </c>
      <c r="M7">
        <f>yarxi</f>
        <v>0</v>
      </c>
      <c r="N7">
        <f>XARXI2</f>
        <v>-37</v>
      </c>
      <c r="O7">
        <f>yarxi</f>
        <v>0</v>
      </c>
      <c r="P7">
        <f>XARXI2</f>
        <v>-37</v>
      </c>
      <c r="Q7">
        <f>yarxi</f>
        <v>0</v>
      </c>
      <c r="R7">
        <f>XARXI2</f>
        <v>-37</v>
      </c>
      <c r="S7">
        <f>yarxi</f>
        <v>0</v>
      </c>
      <c r="T7">
        <f>XARXI2</f>
        <v>-37</v>
      </c>
      <c r="U7">
        <f>yarxi</f>
        <v>0</v>
      </c>
      <c r="V7">
        <f>XARXI2</f>
        <v>-37</v>
      </c>
      <c r="W7">
        <f>yarxi</f>
        <v>0</v>
      </c>
      <c r="X7">
        <f>XARXI2</f>
        <v>-37</v>
      </c>
      <c r="Y7">
        <f>yarxi</f>
        <v>0</v>
      </c>
      <c r="Z7">
        <f>XARXI2</f>
        <v>-37</v>
      </c>
      <c r="AA7">
        <f>yarxi</f>
        <v>0</v>
      </c>
      <c r="AE7">
        <f>XARXI2</f>
        <v>-37</v>
      </c>
      <c r="AF7">
        <f>0</f>
        <v>0</v>
      </c>
      <c r="AG7">
        <f>AE7*COS(gonia_pigi)+AF7*SIN(gonia_pigi)</f>
        <v>-36.994364720786479</v>
      </c>
      <c r="AH7">
        <f>-AE7*SIN(gonia_pigi)+AF7*COS(gonia_pigi)</f>
        <v>0.64573903817948997</v>
      </c>
      <c r="AI7">
        <f>XARXI2</f>
        <v>-37</v>
      </c>
      <c r="AJ7">
        <v>0</v>
      </c>
      <c r="AK7">
        <f>AI7*COS(gonia_pigi)+AJ7*SIN(gonia_pigi)</f>
        <v>-36.994364720786479</v>
      </c>
      <c r="AL7">
        <f>-AI7*SIN(gonia_pigi)+AJ7*COS(gonia_pigi)</f>
        <v>0.64573903817948997</v>
      </c>
    </row>
    <row r="8" spans="1:54" x14ac:dyDescent="0.25">
      <c r="I8" s="10" t="s">
        <v>69</v>
      </c>
      <c r="J8" s="11">
        <f>-SQRT(RCYCLE2^2-K8^2)</f>
        <v>-4.358898943540674</v>
      </c>
      <c r="K8" s="12">
        <f>RCYCLE2-K3*STEP2</f>
        <v>9</v>
      </c>
      <c r="L8">
        <f>-SQRT(RCYCLE2^2-M8^2)</f>
        <v>-6</v>
      </c>
      <c r="M8">
        <f>RCYCLE2-M3*STEPp</f>
        <v>8</v>
      </c>
      <c r="N8">
        <f>-SQRT(RCYCLE2^2-O8^2)</f>
        <v>-7.1414284285428504</v>
      </c>
      <c r="O8">
        <f>RCYCLE2-O3*STEPp</f>
        <v>7</v>
      </c>
      <c r="P8">
        <f>-SQRT(RCYCLE2^2-Q8^2)</f>
        <v>-8</v>
      </c>
      <c r="Q8">
        <f>RCYCLE2-Q3*STEPp</f>
        <v>6</v>
      </c>
      <c r="R8">
        <f>-SQRT(RCYCLE2^2-S8^2)</f>
        <v>-8.6602540378443873</v>
      </c>
      <c r="S8">
        <f>RCYCLE2-S3*STEPp</f>
        <v>5</v>
      </c>
      <c r="T8">
        <f>-SQRT(RCYCLE2^2-U8^2)</f>
        <v>-9.1651513899116797</v>
      </c>
      <c r="U8">
        <f>RCYCLE2-U3*STEPp</f>
        <v>4</v>
      </c>
      <c r="V8">
        <f>-SQRT(RCYCLE2^2-W8^2)</f>
        <v>-9.5393920141694561</v>
      </c>
      <c r="W8">
        <f>RCYCLE2-W3*STEPp</f>
        <v>3</v>
      </c>
      <c r="X8">
        <f>-SQRT(RCYCLE2^2-Y8^2)</f>
        <v>-9.7979589711327115</v>
      </c>
      <c r="Y8">
        <f>RCYCLE2-Y3*STEPp</f>
        <v>2</v>
      </c>
      <c r="Z8">
        <f>-SQRT(RCYCLE2^2-AA8^2)</f>
        <v>-9.9498743710661994</v>
      </c>
      <c r="AA8">
        <f>RCYCLE2-AA3*STEPp</f>
        <v>1</v>
      </c>
      <c r="AB8">
        <f>-RCYCLE2</f>
        <v>-10</v>
      </c>
      <c r="AC8">
        <v>0</v>
      </c>
      <c r="AE8">
        <f>-RCYCLE2*COS($AE$3)</f>
        <v>-9.8563364759659855</v>
      </c>
      <c r="AF8">
        <f>RCYCLE2*SIN($AE$3)</f>
        <v>1.6889734374887087</v>
      </c>
      <c r="AG8">
        <f>AE8*COS(gonia_pigi)+AF8*SIN(gonia_pigi)</f>
        <v>-9.8253586572876301</v>
      </c>
      <c r="AH8">
        <f>-AE8*SIN(gonia_pigi)+AF8*COS(gonia_pigi)</f>
        <v>1.8607329888146338</v>
      </c>
      <c r="AI8">
        <f>-RCYCLE2*COS(AK$3)</f>
        <v>-2.7027027027027026</v>
      </c>
      <c r="AJ8">
        <f>RCYCLE2*SIN($AK$3)</f>
        <v>9.6278449354361495</v>
      </c>
      <c r="AK8">
        <f>AI8*COS(gonia_pigi)+AJ8*SIN(gonia_pigi)</f>
        <v>-2.5342620050618732</v>
      </c>
      <c r="AL8">
        <f>-AI8*SIN(gonia_pigi)+AJ8*COS(gonia_pigi)</f>
        <v>9.6735472340656816</v>
      </c>
    </row>
    <row r="9" spans="1:54" x14ac:dyDescent="0.25">
      <c r="I9" t="s">
        <v>73</v>
      </c>
      <c r="J9">
        <f>RCYCLE2*COS(K$6)</f>
        <v>9.9765740586682252</v>
      </c>
      <c r="K9">
        <f>RCYCLE2*SIN(K$6)</f>
        <v>-0.68408336619759313</v>
      </c>
      <c r="L9">
        <f>RCYCLE2*COS(M$6)</f>
        <v>9.9847909636988259</v>
      </c>
      <c r="M9">
        <f>RCYCLE2*SIN(M$6)</f>
        <v>0.55131607199344979</v>
      </c>
      <c r="N9">
        <f>RCYCLE2*COS(O$6)</f>
        <v>9.933329042121029</v>
      </c>
      <c r="O9">
        <f>RCYCLE2*SIN(O$6)</f>
        <v>1.1528114073667541</v>
      </c>
      <c r="P9">
        <f>RCYCLE2*COS(Q$6)</f>
        <v>9.9001479890237594</v>
      </c>
      <c r="Q9">
        <f>RCYCLE2*SIN(Q$6)</f>
        <v>1.4096346318918351</v>
      </c>
      <c r="R9">
        <f>RCYCLE2*COS(S$6)</f>
        <v>9.8954113765498342</v>
      </c>
      <c r="S9">
        <f>RCYCLE2*SIN(S$6)</f>
        <v>1.4425095108345416</v>
      </c>
      <c r="T9">
        <f>RCYCLE2*COS(U$6)</f>
        <v>9.9127461213440409</v>
      </c>
      <c r="U9">
        <f>RCYCLE2*SIN(U$6)</f>
        <v>1.3181291036080953</v>
      </c>
      <c r="V9">
        <f>RCYCLE2*COS(W$6)</f>
        <v>9.9414556324429739</v>
      </c>
      <c r="W9">
        <f>RCYCLE2*SIN(W$6)</f>
        <v>1.0804905868020713</v>
      </c>
      <c r="X9">
        <f>RCYCLE2*COS(Y$6)</f>
        <v>9.9708470868726984</v>
      </c>
      <c r="Y9">
        <f>RCYCLE2*SIN(Y$6)</f>
        <v>0.76302579917210356</v>
      </c>
      <c r="Z9">
        <f>RCYCLE2*COS(AA$6)</f>
        <v>9.9922292739657337</v>
      </c>
      <c r="AA9">
        <f>RCYCLE2*SIN(AA$6)</f>
        <v>0.39414989090728242</v>
      </c>
      <c r="AB9">
        <f>RCYCLE2</f>
        <v>10</v>
      </c>
      <c r="AC9">
        <f>0</f>
        <v>0</v>
      </c>
      <c r="AE9">
        <f>RCYCLE2*COS(2*AE5-$AE$3)</f>
        <v>9.9786861013958053</v>
      </c>
      <c r="AF9">
        <f>RCYCLE2*SIN(2*$AE$4-$AE$3)</f>
        <v>0.64715852868318768</v>
      </c>
      <c r="AG9">
        <f>AE9*COS(gonia_pigi)+AF9*SIN(gonia_pigi)</f>
        <v>9.9884607728416448</v>
      </c>
      <c r="AH9">
        <f>-AE9*SIN(gonia_pigi)+AF9*COS(gonia_pigi)</f>
        <v>0.47290787775305487</v>
      </c>
      <c r="AI9">
        <f>RCYCLE2*COS(2*AK5-AK3)</f>
        <v>9.7450807730084268</v>
      </c>
      <c r="AJ9">
        <f>RCYCLE2*SIN(2*$AK5-$AK$3)</f>
        <v>-2.243524175831741</v>
      </c>
      <c r="AK9">
        <f>AI9*COS(gonia_pigi)+AJ9*SIN(gonia_pigi)</f>
        <v>9.7044416542368523</v>
      </c>
      <c r="AL9">
        <f>-AI9*SIN(gonia_pigi)+AJ9*COS(gonia_pigi)</f>
        <v>-2.4132575866477088</v>
      </c>
    </row>
    <row r="10" spans="1:54" x14ac:dyDescent="0.25">
      <c r="I10" t="s">
        <v>74</v>
      </c>
      <c r="J10">
        <f>J9+(K9-K10)/TAN(ABS(J18)+ABS(J16)-2*ABS(J14) )</f>
        <v>11.038720715922208</v>
      </c>
      <c r="K10">
        <v>-10</v>
      </c>
      <c r="L10">
        <f>L9+(M9-M10)/TAN(ABS(L18)+ABS(L16)-2*ABS(L14) )</f>
        <v>15.031083690220902</v>
      </c>
      <c r="M10">
        <v>-10</v>
      </c>
      <c r="N10">
        <f>N9+(O9-O10)/TAN(ABS(N18)+ABS(N16)-2*ABS(N14) )</f>
        <v>18.964302925445367</v>
      </c>
      <c r="O10">
        <v>-10</v>
      </c>
      <c r="P10">
        <f>P9+(Q9-Q10)/TAN(ABS(P18)+ABS(P16)-2*ABS(P14) )</f>
        <v>23.280064416672236</v>
      </c>
      <c r="Q10">
        <v>-10</v>
      </c>
      <c r="R10">
        <f>R9+(S9-S10)/TAN(ABS(R18)+ABS(R16)-2*ABS(R14) )</f>
        <v>28.413841551824486</v>
      </c>
      <c r="S10">
        <v>-10</v>
      </c>
      <c r="T10">
        <f>T9+(U9-U10)/TAN(ABS(T18)+ABS(T16)-2*ABS(T14) )</f>
        <v>35.118486506192788</v>
      </c>
      <c r="U10">
        <v>-10</v>
      </c>
      <c r="V10">
        <f>V9+(W9-W10)/TAN(ABS(V18)+ABS(V16)-2*ABS(V14) )</f>
        <v>45.106905129523078</v>
      </c>
      <c r="W10">
        <v>-10</v>
      </c>
      <c r="X10">
        <f>X9+(Y9-Y10)/TAN(ABS(X18)+ABS(X16)-2*ABS(X14) )</f>
        <v>63.513796038932981</v>
      </c>
      <c r="Y10">
        <v>-10</v>
      </c>
      <c r="Z10">
        <f>Z9+(AA9-AA10)/TAN(ABS(Z18)+ABS(Z16)-2*ABS(Z14) )</f>
        <v>116.04872014271535</v>
      </c>
      <c r="AA10">
        <v>-10</v>
      </c>
      <c r="AB10">
        <v>50</v>
      </c>
      <c r="AC10">
        <v>0</v>
      </c>
      <c r="AE10">
        <f>AE9-(AF10-AF9)/TAN(AE1+$AE$3-2*$AE$5)</f>
        <v>73.31317530885913</v>
      </c>
      <c r="AF10">
        <f>-10</f>
        <v>-10</v>
      </c>
      <c r="AG10">
        <f>AE10*COS(gonia_pigi)+AF10*SIN(gonia_pigi)</f>
        <v>73.127485292786417</v>
      </c>
      <c r="AH10">
        <f>-AE10*SIN(gonia_pigi)+AF10*COS(gonia_pigi)</f>
        <v>-11.27796828426194</v>
      </c>
      <c r="AI10">
        <f>AI9-(AJ10-AJ9)/TAN(PI/2+$AK$3-2*$AK$5)</f>
        <v>7.959375612002999</v>
      </c>
      <c r="AJ10">
        <f>-10</f>
        <v>-10</v>
      </c>
      <c r="AK10">
        <f>AI10*COS(gonia_pigi)+AJ10*SIN(gonia_pigi)</f>
        <v>7.7836392961723551</v>
      </c>
      <c r="AL10">
        <f>-AI10*SIN(gonia_pigi)+AJ10*COS(gonia_pigi)</f>
        <v>-10.137387209731591</v>
      </c>
      <c r="AS10">
        <v>0</v>
      </c>
      <c r="AT10">
        <f t="shared" ref="AT10:AT73" si="1">-RCYCLE+AS10*STEP</f>
        <v>-10</v>
      </c>
      <c r="AU10">
        <f t="shared" ref="AU10:AU73" si="2">yc+SQRT(RCYCLE^2-(AT10-xc)^2)</f>
        <v>0</v>
      </c>
      <c r="AV10">
        <f t="shared" ref="AV10:AV73" si="3">yc-SQRT(RCYCLE^2-(AT10-xc)^2)</f>
        <v>0</v>
      </c>
    </row>
    <row r="11" spans="1:54" x14ac:dyDescent="0.25">
      <c r="I11" t="s">
        <v>70</v>
      </c>
      <c r="J11">
        <f>(J7-J8)*(K7-K8)-(J8)*(K8-K7)</f>
        <v>333</v>
      </c>
      <c r="L11">
        <f>(L7-L8)*(M7-M8)-(L8)*(M8-M7)</f>
        <v>296</v>
      </c>
      <c r="N11">
        <f>(N7-N8)*(O7-O8)-(N8)*(O8-O7)</f>
        <v>259</v>
      </c>
      <c r="P11">
        <f>(P7-P8)*(Q7-Q8)-(P8)*(Q8-Q7)</f>
        <v>222</v>
      </c>
      <c r="R11">
        <f>(R7-R8)*(S7-S8)-(R8)*(S8-S7)</f>
        <v>185</v>
      </c>
      <c r="T11">
        <f>(T7-T8)*(U7-U8)-(T8)*(U8-U7)</f>
        <v>148</v>
      </c>
      <c r="V11">
        <f>(V7-V8)*(W7-W8)-(V8)*(W8-W7)</f>
        <v>111</v>
      </c>
      <c r="X11">
        <f>(X7-X8)*(Y7-Y8)-(X8)*(Y8-Y7)</f>
        <v>74</v>
      </c>
      <c r="Z11">
        <f>(Z7-Z8)*(AA7-AA8)-(Z8)*(AA8-AA7)</f>
        <v>37</v>
      </c>
      <c r="AE11">
        <f>(AE7-AE8)*(AF7-AF8)-(AE8)*(AF8-AF7)</f>
        <v>62.492017187082219</v>
      </c>
      <c r="AG11" t="s">
        <v>91</v>
      </c>
      <c r="AI11" t="s">
        <v>92</v>
      </c>
      <c r="AS11">
        <f t="shared" ref="AS11:AS74" si="4">AS10+1</f>
        <v>1</v>
      </c>
      <c r="AT11">
        <f t="shared" si="1"/>
        <v>-9.9</v>
      </c>
      <c r="AU11">
        <f t="shared" si="2"/>
        <v>1.4106735979665865</v>
      </c>
      <c r="AV11">
        <f t="shared" si="3"/>
        <v>-1.4106735979665865</v>
      </c>
      <c r="AY11" t="s">
        <v>103</v>
      </c>
      <c r="AZ11" t="s">
        <v>104</v>
      </c>
    </row>
    <row r="12" spans="1:54" x14ac:dyDescent="0.25">
      <c r="I12" t="s">
        <v>39</v>
      </c>
      <c r="J12">
        <f>J11/SQRT((J7-J8)^2+K8^2)/RCYCLE2</f>
        <v>0.9834862405258129</v>
      </c>
      <c r="K12">
        <f>ASIN(J12)</f>
        <v>1.3888105504198947</v>
      </c>
      <c r="L12">
        <f>L11/SQRT((L7-L8)^2+M8^2)/RCYCLE2</f>
        <v>0.92454867038054789</v>
      </c>
      <c r="M12">
        <f>ASIN(L12)</f>
        <v>1.1798494937796717</v>
      </c>
      <c r="N12">
        <f>N11/SQRT((N7-N8)^2+O8^2)/RCYCLE2</f>
        <v>0.84452487460188086</v>
      </c>
      <c r="O12">
        <f>ASIN(N12)</f>
        <v>1.0056773167869704</v>
      </c>
      <c r="P12">
        <f>P11/SQRT((P7-P8)^2+Q8^2)/RCYCLE2</f>
        <v>0.74964073493302341</v>
      </c>
      <c r="Q12">
        <f>ASIN(P12)</f>
        <v>0.84751908838583279</v>
      </c>
      <c r="R12">
        <f>R11/SQRT((R7-R8)^2+S8^2)/RCYCLE2</f>
        <v>0.64286463091065138</v>
      </c>
      <c r="S12">
        <f>ASIN(R12)</f>
        <v>0.69823224910692328</v>
      </c>
      <c r="T12">
        <f>T11/SQRT((T7-T8)^2+U8^2)/RCYCLE2</f>
        <v>0.5263010146420255</v>
      </c>
      <c r="U12">
        <f>ASIN(T12)</f>
        <v>0.5542444583024837</v>
      </c>
      <c r="V12">
        <f>V11/SQRT((V7-V8)^2+W8^2)/RCYCLE2</f>
        <v>0.40182460181362184</v>
      </c>
      <c r="W12">
        <f>ASIN(V12)</f>
        <v>0.41350851679170453</v>
      </c>
      <c r="X12">
        <f>X11/SQRT((X7-X8)^2+Y8^2)/RCYCLE2</f>
        <v>0.2713060904864385</v>
      </c>
      <c r="Y12">
        <f>ASIN(X12)</f>
        <v>0.27474975928457568</v>
      </c>
      <c r="Z12">
        <f>Z11/SQRT((Z7-Z8)^2+AA8^2)/RCYCLE2</f>
        <v>0.1366897260592107</v>
      </c>
      <c r="AA12">
        <f>ASIN(Z12)</f>
        <v>0.13711899885763368</v>
      </c>
      <c r="AE12">
        <f>AE11/SQRT((AE7-AE8)^2+AF8^2)/RCYCLE2</f>
        <v>0.22978250586152144</v>
      </c>
      <c r="AF12">
        <f>ASIN(AE12)</f>
        <v>0.23185420311436469</v>
      </c>
      <c r="AG12">
        <f>AE7</f>
        <v>-37</v>
      </c>
      <c r="AH12">
        <f>AF7</f>
        <v>0</v>
      </c>
      <c r="AI12">
        <f>AG12*COS(gonia_pigi)+AH12*SIN(gonia_pigi)</f>
        <v>-36.994364720786479</v>
      </c>
      <c r="AJ12">
        <f>-AG12*SIN(gonia_pigi)+AH12*COS(gonia_pigi)</f>
        <v>0.64573903817948997</v>
      </c>
      <c r="AS12">
        <f t="shared" si="4"/>
        <v>2</v>
      </c>
      <c r="AT12">
        <f t="shared" si="1"/>
        <v>-9.8000000000000007</v>
      </c>
      <c r="AU12">
        <f t="shared" si="2"/>
        <v>1.9899748742132348</v>
      </c>
      <c r="AV12">
        <f t="shared" si="3"/>
        <v>-1.9899748742132348</v>
      </c>
      <c r="AY12">
        <f>AY18</f>
        <v>-36.994364720786479</v>
      </c>
      <c r="AZ12">
        <f>AZ18</f>
        <v>0.64573903817948997</v>
      </c>
    </row>
    <row r="13" spans="1:54" x14ac:dyDescent="0.25">
      <c r="H13" t="s">
        <v>72</v>
      </c>
      <c r="I13" t="s">
        <v>40</v>
      </c>
      <c r="J13">
        <f>J12/ndd</f>
        <v>0.50177869414582288</v>
      </c>
      <c r="K13">
        <f>ASIN(J13)</f>
        <v>0.52565385530910291</v>
      </c>
      <c r="L13">
        <f>L12/ndd</f>
        <v>0.4717085052961979</v>
      </c>
      <c r="N13">
        <f>N12/ndd</f>
        <v>0.43088003806218411</v>
      </c>
      <c r="P13">
        <f>P12/ndd</f>
        <v>0.38246976272093031</v>
      </c>
      <c r="R13">
        <f>R12/ndd</f>
        <v>0.32799215862788339</v>
      </c>
      <c r="T13">
        <f>T12/ndd</f>
        <v>0.2685209258377681</v>
      </c>
      <c r="V13">
        <f>V12/ndd</f>
        <v>0.20501255194572543</v>
      </c>
      <c r="X13">
        <f>X12/ndd</f>
        <v>0.13842147473797883</v>
      </c>
      <c r="Z13">
        <f>Z12/ndd</f>
        <v>6.9739656152658522E-2</v>
      </c>
      <c r="AE13">
        <f>AE12/ndd</f>
        <v>0.11723597237832727</v>
      </c>
      <c r="AG13">
        <f>AE8</f>
        <v>-9.8563364759659855</v>
      </c>
      <c r="AH13">
        <f>-AF8</f>
        <v>-1.6889734374887087</v>
      </c>
      <c r="AI13">
        <f>AG13*COS(gonia_pigi)+AH13*SIN(gonia_pigi)</f>
        <v>-9.8843119590732869</v>
      </c>
      <c r="AJ13">
        <f>-AG13*SIN(gonia_pigi)+AH13*COS(gonia_pigi)</f>
        <v>-1.5166994084922716</v>
      </c>
      <c r="AS13">
        <f t="shared" si="4"/>
        <v>3</v>
      </c>
      <c r="AT13">
        <f t="shared" si="1"/>
        <v>-9.6999999999999993</v>
      </c>
      <c r="AU13">
        <f t="shared" si="2"/>
        <v>2.4310491562286458</v>
      </c>
      <c r="AV13">
        <f t="shared" si="3"/>
        <v>-2.4310491562286458</v>
      </c>
    </row>
    <row r="14" spans="1:54" x14ac:dyDescent="0.25">
      <c r="I14" t="s">
        <v>41</v>
      </c>
      <c r="J14">
        <f>ASIN(J13)</f>
        <v>0.52565385530910291</v>
      </c>
      <c r="L14">
        <f>ASIN(L13)</f>
        <v>0.49122739608478183</v>
      </c>
      <c r="N14">
        <f>ASIN(N13)</f>
        <v>0.4454677596717585</v>
      </c>
      <c r="P14">
        <f>ASIN(P13)</f>
        <v>0.39246781841701617</v>
      </c>
      <c r="R14">
        <f>ASIN(R13)</f>
        <v>0.3341773701711887</v>
      </c>
      <c r="T14">
        <f>ASIN(T13)</f>
        <v>0.27185723620256202</v>
      </c>
      <c r="V14">
        <f>ASIN(V13)</f>
        <v>0.20647653158695534</v>
      </c>
      <c r="X14">
        <f>ASIN(X13)</f>
        <v>0.13886736768190358</v>
      </c>
      <c r="Z14">
        <f>ASIN(Z13)</f>
        <v>6.9796311431398361E-2</v>
      </c>
      <c r="AE14">
        <f>ASIN(AE13)</f>
        <v>0.1175062009530385</v>
      </c>
      <c r="AG14">
        <f>AE9</f>
        <v>9.9786861013958053</v>
      </c>
      <c r="AH14">
        <f>-AF9</f>
        <v>-0.64715852868318768</v>
      </c>
      <c r="AI14">
        <f>AG14*COS(gonia_pigi)+AH14*SIN(gonia_pigi)</f>
        <v>9.9658718254977785</v>
      </c>
      <c r="AJ14">
        <f>-AG14*SIN(gonia_pigi)+AH14*COS(gonia_pigi)</f>
        <v>-0.82121204885631816</v>
      </c>
      <c r="AS14">
        <f t="shared" si="4"/>
        <v>4</v>
      </c>
      <c r="AT14">
        <f t="shared" si="1"/>
        <v>-9.6</v>
      </c>
      <c r="AU14">
        <f t="shared" si="2"/>
        <v>2.8000000000000007</v>
      </c>
      <c r="AV14">
        <f t="shared" si="3"/>
        <v>-2.8000000000000007</v>
      </c>
    </row>
    <row r="15" spans="1:54" x14ac:dyDescent="0.25">
      <c r="I15" t="s">
        <v>43</v>
      </c>
      <c r="J15">
        <f>J14+(J16)</f>
        <v>-0.59411565968953128</v>
      </c>
      <c r="L15">
        <f>L14+(L16)</f>
        <v>-0.43606782191683036</v>
      </c>
      <c r="N15">
        <f>N14+(N16)</f>
        <v>-0.32992973693899458</v>
      </c>
      <c r="P15">
        <f>P14+(P16)</f>
        <v>-0.2510332903762682</v>
      </c>
      <c r="R15">
        <f>R14+(R16)</f>
        <v>-0.18942140542711011</v>
      </c>
      <c r="T15">
        <f>T14+(T16)</f>
        <v>-0.13965960986492598</v>
      </c>
      <c r="V15">
        <f>V14+(V16)</f>
        <v>-9.8216122428442187E-2</v>
      </c>
      <c r="X15">
        <f>X14+(X16)</f>
        <v>-6.2490553108427244E-2</v>
      </c>
      <c r="Z15">
        <f>Z14+(Z16)</f>
        <v>-3.0371109730161439E-2</v>
      </c>
      <c r="AE15">
        <f>AE14+(AE16)</f>
        <v>-5.2204632393442182E-2</v>
      </c>
      <c r="AG15">
        <f>AE10</f>
        <v>73.31317530885913</v>
      </c>
      <c r="AH15">
        <f>-AF10</f>
        <v>10</v>
      </c>
      <c r="AI15">
        <f>AG15*COS(gonia_pigi)+AH15*SIN(gonia_pigi)</f>
        <v>73.476533421532082</v>
      </c>
      <c r="AJ15">
        <f>-AG15*SIN(gonia_pigi)+AH15*COS(gonia_pigi)</f>
        <v>8.7189856188658847</v>
      </c>
      <c r="AS15">
        <f t="shared" si="4"/>
        <v>5</v>
      </c>
      <c r="AT15">
        <f t="shared" si="1"/>
        <v>-9.5</v>
      </c>
      <c r="AU15">
        <f t="shared" si="2"/>
        <v>3.1224989991991992</v>
      </c>
      <c r="AV15">
        <f t="shared" si="3"/>
        <v>-3.1224989991991992</v>
      </c>
      <c r="BB15" t="s">
        <v>82</v>
      </c>
    </row>
    <row r="16" spans="1:54" x14ac:dyDescent="0.25">
      <c r="I16" t="s">
        <v>42</v>
      </c>
      <c r="J16">
        <f>ATAN(K8/J8)</f>
        <v>-1.1197695149986342</v>
      </c>
      <c r="L16">
        <f>ATAN(M8/L8)</f>
        <v>-0.92729521800161219</v>
      </c>
      <c r="N16">
        <f>ATAN(O8/N8)</f>
        <v>-0.77539749661075308</v>
      </c>
      <c r="P16">
        <f>ATAN(Q8/P8)</f>
        <v>-0.64350110879328437</v>
      </c>
      <c r="R16">
        <f>ATAN(S8/R8)</f>
        <v>-0.52359877559829882</v>
      </c>
      <c r="T16">
        <f>ATAN(U8/T8)</f>
        <v>-0.41151684606748801</v>
      </c>
      <c r="V16">
        <f>ATAN(W8/V8)</f>
        <v>-0.30469265401539752</v>
      </c>
      <c r="X16">
        <f>ATAN(Y8/X8)</f>
        <v>-0.20135792079033082</v>
      </c>
      <c r="Z16">
        <f>ATAN(AA8/Z8)</f>
        <v>-0.1001674211615598</v>
      </c>
      <c r="AE16">
        <f>ATAN(AF8/AE8)</f>
        <v>-0.16971083334648068</v>
      </c>
      <c r="AS16">
        <f t="shared" si="4"/>
        <v>6</v>
      </c>
      <c r="AT16">
        <f t="shared" si="1"/>
        <v>-9.4</v>
      </c>
      <c r="AU16">
        <f t="shared" si="2"/>
        <v>3.4117444218463944</v>
      </c>
      <c r="AV16">
        <f t="shared" si="3"/>
        <v>-3.4117444218463944</v>
      </c>
      <c r="BB16" t="s">
        <v>81</v>
      </c>
    </row>
    <row r="17" spans="3:70" x14ac:dyDescent="0.25">
      <c r="I17" t="s">
        <v>44</v>
      </c>
      <c r="J17">
        <f>ATAN(K8/(J8-J7))</f>
        <v>0.26904103542126073</v>
      </c>
      <c r="L17">
        <f>ATAN(M8/(L8-L7))</f>
        <v>0.25255427577805956</v>
      </c>
      <c r="N17">
        <f>ATAN(O8/(N8-N7))</f>
        <v>0.23027982017621729</v>
      </c>
      <c r="P17">
        <f>ATAN(Q8/(P8-P7))</f>
        <v>0.20401797959254858</v>
      </c>
      <c r="R17">
        <f>ATAN(S8/(R8-R7))</f>
        <v>0.17463347350862449</v>
      </c>
      <c r="T17">
        <f>ATAN(U8/(T8-T7))</f>
        <v>0.14272761223499578</v>
      </c>
      <c r="V17">
        <f>ATAN(W8/(V8-V7))</f>
        <v>0.10881586277630696</v>
      </c>
      <c r="X17">
        <f>ATAN(Y8/(X8-X7))</f>
        <v>7.3391838494244854E-2</v>
      </c>
      <c r="Z17">
        <f>ATAN(AA8/(Z8-Z7))</f>
        <v>3.6951577696073871E-2</v>
      </c>
      <c r="AE17">
        <f>ATAN(AF8/(AE8-AE7))</f>
        <v>6.2143369767883969E-2</v>
      </c>
      <c r="AS17">
        <f t="shared" si="4"/>
        <v>7</v>
      </c>
      <c r="AT17">
        <f t="shared" si="1"/>
        <v>-9.3000000000000007</v>
      </c>
      <c r="AU17">
        <f t="shared" si="2"/>
        <v>3.6755951898978201</v>
      </c>
      <c r="AV17">
        <f t="shared" si="3"/>
        <v>-3.6755951898978201</v>
      </c>
      <c r="AX17" t="s">
        <v>85</v>
      </c>
      <c r="AZ17">
        <f>1</f>
        <v>1</v>
      </c>
      <c r="BB17">
        <f>AZ17+1</f>
        <v>2</v>
      </c>
      <c r="BD17">
        <f>BB17+1</f>
        <v>3</v>
      </c>
      <c r="BF17">
        <f>BD17+1</f>
        <v>4</v>
      </c>
      <c r="BH17">
        <f>BF17+1</f>
        <v>5</v>
      </c>
      <c r="BJ17">
        <f>BH17+1</f>
        <v>6</v>
      </c>
      <c r="BL17">
        <f>BJ17+1</f>
        <v>7</v>
      </c>
      <c r="BN17">
        <f>BL17+1</f>
        <v>8</v>
      </c>
      <c r="BP17">
        <f>BN17+1</f>
        <v>9</v>
      </c>
      <c r="BR17">
        <f>BP17+1</f>
        <v>10</v>
      </c>
    </row>
    <row r="18" spans="3:70" x14ac:dyDescent="0.25">
      <c r="I18" t="s">
        <v>13</v>
      </c>
      <c r="J18">
        <f>J17-J16</f>
        <v>1.3888105504198949</v>
      </c>
      <c r="L18">
        <f>L17-L16</f>
        <v>1.1798494937796717</v>
      </c>
      <c r="N18">
        <f>N17-N16</f>
        <v>1.0056773167869704</v>
      </c>
      <c r="P18">
        <f>P17-P16</f>
        <v>0.84751908838583301</v>
      </c>
      <c r="R18">
        <f>R17-R16</f>
        <v>0.69823224910692328</v>
      </c>
      <c r="T18">
        <f>T17-T16</f>
        <v>0.55424445830248381</v>
      </c>
      <c r="V18">
        <f>V17-V16</f>
        <v>0.41350851679170447</v>
      </c>
      <c r="X18">
        <f>X17-X16</f>
        <v>0.27474975928457568</v>
      </c>
      <c r="Z18">
        <f>Z17-Z16</f>
        <v>0.13711899885763368</v>
      </c>
      <c r="AE18">
        <f>AE17-AE16</f>
        <v>0.23185420311436467</v>
      </c>
      <c r="AS18">
        <f t="shared" si="4"/>
        <v>8</v>
      </c>
      <c r="AT18">
        <f t="shared" si="1"/>
        <v>-9.1999999999999993</v>
      </c>
      <c r="AU18">
        <f t="shared" si="2"/>
        <v>3.9191835884530866</v>
      </c>
      <c r="AV18">
        <f t="shared" si="3"/>
        <v>-3.9191835884530866</v>
      </c>
      <c r="AX18" t="s">
        <v>71</v>
      </c>
      <c r="AY18">
        <f>J7*COS(gonia_pigi)+K7*SIN(gonia_pigi)</f>
        <v>-36.994364720786479</v>
      </c>
      <c r="AZ18">
        <f>-J7*SIN(gonia_pigi)+K7*COS(gonia_pigi)</f>
        <v>0.64573903817948997</v>
      </c>
      <c r="BA18">
        <f>L7*COS(gonia_pigi)+M7*SIN(gonia_pigi)</f>
        <v>-36.994364720786479</v>
      </c>
      <c r="BB18">
        <f>-L7*SIN(gonia_pigi)+M7*COS(gonia_pigi)</f>
        <v>0.64573903817948997</v>
      </c>
      <c r="BC18">
        <f>N7*COS(gonia_pigi)+O7*SIN(gonia_pigi)</f>
        <v>-36.994364720786479</v>
      </c>
      <c r="BD18">
        <f>-N7*SIN(gonia_pigi)+O7*COS(gonia_pigi)</f>
        <v>0.64573903817948997</v>
      </c>
      <c r="BE18">
        <f>P7*COS(gonia_pigi)+Q7*SIN(gonia_pigi)</f>
        <v>-36.994364720786479</v>
      </c>
      <c r="BF18">
        <f>-P7*SIN(gonia_pigi)+Q7*COS(gonia_pigi)</f>
        <v>0.64573903817948997</v>
      </c>
      <c r="BG18">
        <f>R7*COS(gonia_pigi)+S7*SIN(gonia_pigi)</f>
        <v>-36.994364720786479</v>
      </c>
      <c r="BH18">
        <f>-R7*SIN(gonia_pigi)+S7*COS(gonia_pigi)</f>
        <v>0.64573903817948997</v>
      </c>
      <c r="BI18">
        <f>T7*COS(gonia_pigi)+U7*SIN(gonia_pigi)</f>
        <v>-36.994364720786479</v>
      </c>
      <c r="BJ18">
        <f>-T7*SIN(gonia_pigi)+U7*COS(gonia_pigi)</f>
        <v>0.64573903817948997</v>
      </c>
      <c r="BK18">
        <f>V7*COS(gonia_pigi)+W7*SIN(gonia_pigi)</f>
        <v>-36.994364720786479</v>
      </c>
      <c r="BL18">
        <f>-V7*SIN(gonia_pigi)+W7*COS(gonia_pigi)</f>
        <v>0.64573903817948997</v>
      </c>
      <c r="BM18">
        <f>X7*COS(gonia_pigi)+Y7*SIN(gonia_pigi)</f>
        <v>-36.994364720786479</v>
      </c>
      <c r="BN18">
        <f>-X7*SIN(gonia_pigi)+Y7*COS(gonia_pigi)</f>
        <v>0.64573903817948997</v>
      </c>
      <c r="BO18">
        <f>Z7*COS(gonia_pigi)+AA7*SIN(gonia_pigi)</f>
        <v>-36.994364720786479</v>
      </c>
      <c r="BP18">
        <f>-Z7*SIN(gonia_pigi)+AA7*COS(gonia_pigi)</f>
        <v>0.64573903817948997</v>
      </c>
    </row>
    <row r="19" spans="3:70" x14ac:dyDescent="0.25">
      <c r="I19" t="s">
        <v>42</v>
      </c>
      <c r="J19">
        <f>DEGREES(J16)</f>
        <v>-64.158067236832878</v>
      </c>
      <c r="L19">
        <f>DEGREES(L16)</f>
        <v>-53.13010235415598</v>
      </c>
      <c r="N19">
        <f>DEGREES(N16)</f>
        <v>-44.427004000805709</v>
      </c>
      <c r="P19">
        <f>DEGREES(P16)</f>
        <v>-36.86989764584402</v>
      </c>
      <c r="R19">
        <f>DEGREES(R16)</f>
        <v>-29.999999999999996</v>
      </c>
      <c r="T19">
        <f>DEGREES(T16)</f>
        <v>-23.578178478201831</v>
      </c>
      <c r="V19">
        <f>DEGREES(V16)</f>
        <v>-17.457603123722095</v>
      </c>
      <c r="X19">
        <f>DEGREES(X16)</f>
        <v>-11.53695903281549</v>
      </c>
      <c r="Z19">
        <f>DEGREES(Z16)</f>
        <v>-5.7391704772667866</v>
      </c>
      <c r="AE19">
        <f>DEGREES(AE16)</f>
        <v>-9.7237144884014164</v>
      </c>
      <c r="AS19">
        <f t="shared" si="4"/>
        <v>9</v>
      </c>
      <c r="AT19">
        <f t="shared" si="1"/>
        <v>-9.1</v>
      </c>
      <c r="AU19">
        <f t="shared" si="2"/>
        <v>4.1460824883255771</v>
      </c>
      <c r="AV19">
        <f t="shared" si="3"/>
        <v>-4.1460824883255771</v>
      </c>
      <c r="AX19" t="s">
        <v>69</v>
      </c>
      <c r="AY19">
        <f>J8*COS(gonia_pigi)+K8*SIN(gonia_pigi)</f>
        <v>-4.2011634041832204</v>
      </c>
      <c r="AZ19">
        <f>-J8*SIN(gonia_pigi)+K8*COS(gonia_pigi)</f>
        <v>9.0747025323892405</v>
      </c>
      <c r="BA19">
        <f>L8*COS(gonia_pigi)+M8*SIN(gonia_pigi)</f>
        <v>-5.8594669194400799</v>
      </c>
      <c r="BB19">
        <f>-L8*SIN(gonia_pigi)+M8*COS(gonia_pigi)</f>
        <v>8.1034959998748306</v>
      </c>
      <c r="BC19">
        <f>N8*COS(gonia_pigi)+O8*SIN(gonia_pigi)</f>
        <v>-7.0181739093419138</v>
      </c>
      <c r="BD19">
        <f>-N8*SIN(gonia_pigi)+O8*COS(gonia_pigi)</f>
        <v>7.1235689775724396</v>
      </c>
      <c r="BE19">
        <f>P8*COS(gonia_pigi)+Q8*SIN(gonia_pigi)</f>
        <v>-7.8940671226274288</v>
      </c>
      <c r="BF19">
        <f>-P8*SIN(gonia_pigi)+Q8*COS(gonia_pigi)</f>
        <v>6.1387054224366162</v>
      </c>
      <c r="BG19">
        <f>R8*COS(gonia_pigi)+S8*SIN(gonia_pigi)</f>
        <v>-8.5716730070211238</v>
      </c>
      <c r="BH19">
        <f>-R8*SIN(gonia_pigi)+S8*COS(gonia_pigi)</f>
        <v>5.1503807491005418</v>
      </c>
      <c r="BI19">
        <f>T8*COS(gonia_pigi)+U8*SIN(gonia_pigi)</f>
        <v>-9.0939458672134545</v>
      </c>
      <c r="BJ19">
        <f>-T8*SIN(gonia_pigi)+U8*COS(gonia_pigi)</f>
        <v>4.1593447277415372</v>
      </c>
      <c r="BK19">
        <f>V8*COS(gonia_pigi)+W8*SIN(gonia_pigi)</f>
        <v>-9.4855818992487642</v>
      </c>
      <c r="BL19">
        <f>-V8*SIN(gonia_pigi)+W8*COS(gonia_pigi)</f>
        <v>3.166028432065036</v>
      </c>
      <c r="BM19">
        <f>X8*COS(gonia_pigi)+Y8*SIN(gonia_pigi)</f>
        <v>-9.7615618816493619</v>
      </c>
      <c r="BN19">
        <f>-X8*SIN(gonia_pigi)+Y8*COS(gonia_pigi)</f>
        <v>2.1706933525328189</v>
      </c>
      <c r="BO19">
        <f>Z8*COS(gonia_pigi)+AA8*SIN(gonia_pigi)</f>
        <v>-9.9309065505689027</v>
      </c>
      <c r="BP19">
        <f>-Z8*SIN(gonia_pigi)+AA8*COS(gonia_pigi)</f>
        <v>1.1734969466801493</v>
      </c>
    </row>
    <row r="20" spans="3:70" x14ac:dyDescent="0.25">
      <c r="I20" t="s">
        <v>41</v>
      </c>
      <c r="J20">
        <f>DEGREES(J14)</f>
        <v>30.117747393992037</v>
      </c>
      <c r="L20">
        <f>DEGREES(L14)</f>
        <v>28.145256576859218</v>
      </c>
      <c r="N20">
        <f>DEGREES(N14)</f>
        <v>25.523422538339819</v>
      </c>
      <c r="P20">
        <f>DEGREES(P14)</f>
        <v>22.486749590001789</v>
      </c>
      <c r="R20">
        <f>DEGREES(R14)</f>
        <v>19.14695291959012</v>
      </c>
      <c r="T20">
        <f>DEGREES(T14)</f>
        <v>15.576272264497936</v>
      </c>
      <c r="V20">
        <f>DEGREES(V14)</f>
        <v>11.830233828432171</v>
      </c>
      <c r="X20">
        <f>DEGREES(X14)</f>
        <v>7.9565140802644816</v>
      </c>
      <c r="Z20">
        <f>DEGREES(Z14)</f>
        <v>3.9990340705998277</v>
      </c>
      <c r="AE20">
        <f>DEGREES(AE14)</f>
        <v>6.7326093812252381</v>
      </c>
      <c r="AS20">
        <f t="shared" si="4"/>
        <v>10</v>
      </c>
      <c r="AT20">
        <f t="shared" si="1"/>
        <v>-9</v>
      </c>
      <c r="AU20">
        <f t="shared" si="2"/>
        <v>4.358898943540674</v>
      </c>
      <c r="AV20">
        <f t="shared" si="3"/>
        <v>-4.358898943540674</v>
      </c>
      <c r="AX20" t="s">
        <v>73</v>
      </c>
      <c r="AY20">
        <f>J9*COS(gonia_pigi)+K9*SIN(gonia_pigi)</f>
        <v>9.9631156771726026</v>
      </c>
      <c r="AZ20">
        <f>-J9*SIN(gonia_pigi)+K9*COS(gonia_pigi)</f>
        <v>-0.85809440231102618</v>
      </c>
      <c r="BA20">
        <f>L9*COS(gonia_pigi)+M9*SIN(gonia_pigi)</f>
        <v>9.99289202383647</v>
      </c>
      <c r="BB20">
        <f>-L9*SIN(gonia_pigi)+M9*COS(gonia_pigi)</f>
        <v>0.37697347379553825</v>
      </c>
      <c r="BC20">
        <f>N9*COS(gonia_pigi)+O9*SIN(gonia_pigi)</f>
        <v>9.9519354812216569</v>
      </c>
      <c r="BD20">
        <f>-N9*SIN(gonia_pigi)+O9*COS(gonia_pigi)</f>
        <v>0.97927533288727653</v>
      </c>
      <c r="BE20">
        <f>P9*COS(gonia_pigi)+Q9*SIN(gonia_pigi)</f>
        <v>9.9232416650564339</v>
      </c>
      <c r="BF20">
        <f>-P9*SIN(gonia_pigi)+Q9*COS(gonia_pigi)</f>
        <v>1.2366385312159818</v>
      </c>
      <c r="BG20">
        <f>R9*COS(gonia_pigi)+S9*SIN(gonia_pigi)</f>
        <v>9.919079519740416</v>
      </c>
      <c r="BH20">
        <f>-R9*SIN(gonia_pigi)+S9*COS(gonia_pigi)</f>
        <v>1.2695910684414231</v>
      </c>
      <c r="BI20">
        <f>T9*COS(gonia_pigi)+U9*SIN(gonia_pigi)</f>
        <v>9.9342408869492775</v>
      </c>
      <c r="BJ20">
        <f>-T9*SIN(gonia_pigi)+U9*COS(gonia_pigi)</f>
        <v>1.1449270719418123</v>
      </c>
      <c r="BK20">
        <f>V9*COS(gonia_pigi)+W9*SIN(gonia_pigi)</f>
        <v>9.9587986614701602</v>
      </c>
      <c r="BL20">
        <f>-V9*SIN(gonia_pigi)+W9*COS(gonia_pigi)</f>
        <v>0.9068236985766116</v>
      </c>
      <c r="BM20">
        <f>X9*COS(gonia_pigi)+Y9*SIN(gonia_pigi)</f>
        <v>9.9826451149357691</v>
      </c>
      <c r="BN20">
        <f>-X9*SIN(gonia_pigi)+Y9*COS(gonia_pigi)</f>
        <v>0.5888943107629846</v>
      </c>
      <c r="BO20">
        <f>Z9*COS(gonia_pigi)+AA9*SIN(gonia_pigi)</f>
        <v>9.9975862731421845</v>
      </c>
      <c r="BP20">
        <f>-Z9*SIN(gonia_pigi)+AA9*COS(gonia_pigi)</f>
        <v>0.21970141346601707</v>
      </c>
    </row>
    <row r="21" spans="3:70" x14ac:dyDescent="0.25">
      <c r="I21" t="s">
        <v>46</v>
      </c>
      <c r="J21">
        <f>ATAN(K8/(J8-XARXI2))</f>
        <v>0.26904103542126073</v>
      </c>
      <c r="L21">
        <f>ATAN(M8/(L8-XARXI2))</f>
        <v>0.25255427577805956</v>
      </c>
      <c r="N21">
        <f>ATAN(O8/(N8-XARXI2))</f>
        <v>0.23027982017621729</v>
      </c>
      <c r="P21">
        <f>ATAN(Q8/(P8-XARXI2))</f>
        <v>0.20401797959254858</v>
      </c>
      <c r="R21">
        <f>ATAN(S8/(R8-XARXI2))</f>
        <v>0.17463347350862449</v>
      </c>
      <c r="T21">
        <f>ATAN(U8/(T8-XARXI2))</f>
        <v>0.14272761223499578</v>
      </c>
      <c r="V21">
        <f>ATAN(W8/(V8-XARXI2))</f>
        <v>0.10881586277630696</v>
      </c>
      <c r="X21">
        <f>ATAN(Y8/(X8-XARXI2))</f>
        <v>7.3391838494244854E-2</v>
      </c>
      <c r="Z21">
        <f>ATAN(AA8/(Z8-XARXI2))</f>
        <v>3.6951577696073871E-2</v>
      </c>
      <c r="AE21">
        <f>ATAN(AF8/(AE8-XARXI2))</f>
        <v>6.2143369767883969E-2</v>
      </c>
      <c r="AS21">
        <f t="shared" si="4"/>
        <v>11</v>
      </c>
      <c r="AT21">
        <f t="shared" si="1"/>
        <v>-8.9</v>
      </c>
      <c r="AU21">
        <f t="shared" si="2"/>
        <v>4.5596052460711984</v>
      </c>
      <c r="AV21">
        <f t="shared" si="3"/>
        <v>-4.5596052460711984</v>
      </c>
      <c r="AX21" t="s">
        <v>74</v>
      </c>
      <c r="AY21">
        <f>J10*COS(gonia_pigi)+K10*SIN(gonia_pigi)</f>
        <v>10.862515400917093</v>
      </c>
      <c r="AZ21">
        <f>-J10*SIN(gonia_pigi)+K10*COS(gonia_pigi)</f>
        <v>-10.191129192045848</v>
      </c>
      <c r="BA21">
        <f>L10*COS(gonia_pigi)+M10*SIN(gonia_pigi)</f>
        <v>14.854270318997356</v>
      </c>
      <c r="BB21">
        <f>-L10*SIN(gonia_pigi)+M10*COS(gonia_pigi)</f>
        <v>-10.260805533318472</v>
      </c>
      <c r="BC21">
        <f>N10*COS(gonia_pigi)+O10*SIN(gonia_pigi)</f>
        <v>18.78689050588132</v>
      </c>
      <c r="BD21">
        <f>-N10*SIN(gonia_pigi)+O10*COS(gonia_pigi)</f>
        <v>-10.32944967401855</v>
      </c>
      <c r="BE21">
        <f>P10*COS(gonia_pigi)+Q10*SIN(gonia_pigi)</f>
        <v>23.101994685729217</v>
      </c>
      <c r="BF21">
        <f>-P10*SIN(gonia_pigi)+Q10*COS(gonia_pigi)</f>
        <v>-10.404770097649818</v>
      </c>
      <c r="BG21">
        <f>R10*COS(gonia_pigi)+S10*SIN(gonia_pigi)</f>
        <v>28.234989921757776</v>
      </c>
      <c r="BH21">
        <f>-R10*SIN(gonia_pigi)+S10*COS(gonia_pigi)</f>
        <v>-10.494366862770928</v>
      </c>
      <c r="BI21">
        <f>T10*COS(gonia_pigi)+U10*SIN(gonia_pigi)</f>
        <v>34.938613726224858</v>
      </c>
      <c r="BJ21">
        <f>-T10*SIN(gonia_pigi)+U10*COS(gonia_pigi)</f>
        <v>-10.611379051532245</v>
      </c>
      <c r="BK21">
        <f>V10*COS(gonia_pigi)+W10*SIN(gonia_pigi)</f>
        <v>44.925511065018817</v>
      </c>
      <c r="BL21">
        <f>-V10*SIN(gonia_pigi)+W10*COS(gonia_pigi)</f>
        <v>-10.785700993012338</v>
      </c>
      <c r="BM21">
        <f>X10*COS(gonia_pigi)+Y10*SIN(gonia_pigi)</f>
        <v>63.329598515787438</v>
      </c>
      <c r="BN21">
        <f>-X10*SIN(gonia_pigi)+Y10*COS(gonia_pigi)</f>
        <v>-11.106945534410098</v>
      </c>
      <c r="BO21">
        <f>Z10*COS(gonia_pigi)+AA10*SIN(gonia_pigi)</f>
        <v>115.85652129617019</v>
      </c>
      <c r="BP21">
        <f>-Z10*SIN(gonia_pigi)+AA10*COS(gonia_pigi)</f>
        <v>-12.023806382021149</v>
      </c>
    </row>
    <row r="22" spans="3:70" ht="23.25" x14ac:dyDescent="0.35">
      <c r="D22" s="4" t="s">
        <v>16</v>
      </c>
      <c r="E22" s="1">
        <v>21</v>
      </c>
      <c r="F22">
        <v>750</v>
      </c>
      <c r="J22" t="s">
        <v>12</v>
      </c>
      <c r="K22">
        <f>K19</f>
        <v>0</v>
      </c>
      <c r="M22">
        <f>ASIN(M19)</f>
        <v>0</v>
      </c>
      <c r="O22">
        <f>ASIN(O19)</f>
        <v>0</v>
      </c>
      <c r="Q22">
        <f>ASIN(Q19)</f>
        <v>0</v>
      </c>
      <c r="S22">
        <f>ASIN(S19)</f>
        <v>0</v>
      </c>
      <c r="U22">
        <f>ASIN(U19)</f>
        <v>0</v>
      </c>
      <c r="W22">
        <f>ASIN(W19)</f>
        <v>0</v>
      </c>
      <c r="Y22">
        <f>ASIN(Y19)</f>
        <v>0</v>
      </c>
      <c r="AA22">
        <f>ASIN(AA19)</f>
        <v>0</v>
      </c>
      <c r="AC22">
        <f>ASIN(AF19)</f>
        <v>0</v>
      </c>
      <c r="AS22">
        <f t="shared" si="4"/>
        <v>12</v>
      </c>
      <c r="AT22">
        <f t="shared" si="1"/>
        <v>-8.8000000000000007</v>
      </c>
      <c r="AU22">
        <f t="shared" si="2"/>
        <v>4.7497368348151658</v>
      </c>
      <c r="AV22">
        <f t="shared" si="3"/>
        <v>-4.7497368348151658</v>
      </c>
      <c r="AX22" t="s">
        <v>86</v>
      </c>
    </row>
    <row r="23" spans="3:70" x14ac:dyDescent="0.25">
      <c r="C23" s="3"/>
      <c r="D23" s="3"/>
      <c r="E23" s="3"/>
      <c r="F23" s="3"/>
      <c r="G23" s="3"/>
      <c r="H23" s="3"/>
      <c r="I23" t="s">
        <v>75</v>
      </c>
      <c r="J23" t="s">
        <v>45</v>
      </c>
      <c r="K23">
        <f>2*L18+J33</f>
        <v>3.4794685025579777</v>
      </c>
      <c r="M23">
        <f>2*N18+L33</f>
        <v>2.938649851575553</v>
      </c>
      <c r="O23">
        <f>2*P18+N33</f>
        <v>2.4704356733824193</v>
      </c>
      <c r="Q23">
        <f>2*R18+P33</f>
        <v>2.0399656070071308</v>
      </c>
      <c r="S23">
        <f>2*T18+R33</f>
        <v>1.6320876922032665</v>
      </c>
      <c r="U23">
        <f>2*V18+T33</f>
        <v>1.2385338796508969</v>
      </c>
      <c r="W23">
        <f>2*X18+V33</f>
        <v>0.85419217258454894</v>
      </c>
      <c r="Y23">
        <f>2*Z18+X33</f>
        <v>0.47559591850559818</v>
      </c>
      <c r="AA23">
        <f>2*AE18+Z33</f>
        <v>0.56387582739028907</v>
      </c>
      <c r="AC23">
        <f>2*AD18+AB33</f>
        <v>0</v>
      </c>
      <c r="AK23" t="s">
        <v>89</v>
      </c>
      <c r="AS23">
        <f t="shared" si="4"/>
        <v>13</v>
      </c>
      <c r="AT23">
        <f t="shared" si="1"/>
        <v>-8.6999999999999993</v>
      </c>
      <c r="AU23">
        <f t="shared" si="2"/>
        <v>4.9305172142484217</v>
      </c>
      <c r="AV23">
        <f t="shared" si="3"/>
        <v>-4.9305172142484217</v>
      </c>
      <c r="AX23" t="s">
        <v>71</v>
      </c>
      <c r="AY23">
        <f>J24*COS(gonia_pigi)+K24*SIN(gonia_pigi)</f>
        <v>-36.994364720786479</v>
      </c>
      <c r="AZ23">
        <f>-J24*SIN(gonia_pigi)+K24*COS(gonia_pigi)</f>
        <v>0.64573903817948997</v>
      </c>
      <c r="BA23">
        <f>L24*COS(gonia_pigi)+M24*SIN(gonia_pigi)</f>
        <v>-36.994364720786479</v>
      </c>
      <c r="BB23">
        <f>-L24*SIN(gonia_pigi)+M24*COS(gonia_pigi)</f>
        <v>0.64573903817948997</v>
      </c>
      <c r="BC23">
        <f>N24*COS(gonia_pigi)+O24*SIN(gonia_pigi)</f>
        <v>-36.994364720786479</v>
      </c>
      <c r="BD23">
        <f>-N24*SIN(gonia_pigi)+O24*COS(gonia_pigi)</f>
        <v>0.64573903817948997</v>
      </c>
      <c r="BE23">
        <f>P24*COS(gonia_pigi)+Q24*SIN(gonia_pigi)</f>
        <v>-36.994364720786479</v>
      </c>
      <c r="BF23">
        <f>-P24*SIN(gonia_pigi)+Q24*COS(gonia_pigi)</f>
        <v>0.64573903817948997</v>
      </c>
      <c r="BG23">
        <f>R24*COS(gonia_pigi)+S24*SIN(gonia_pigi)</f>
        <v>-36.994364720786479</v>
      </c>
      <c r="BH23">
        <f>-R24*SIN(gonia_pigi)+S24*COS(gonia_pigi)</f>
        <v>0.64573903817948997</v>
      </c>
      <c r="BI23">
        <f>T24*COS(gonia_pigi)+U24*SIN(gonia_pigi)</f>
        <v>-36.994364720786479</v>
      </c>
      <c r="BJ23">
        <f>-T24*SIN(gonia_pigi)+U24*COS(gonia_pigi)</f>
        <v>0.64573903817948997</v>
      </c>
      <c r="BK23">
        <f>V24*COS(gonia_pigi)+W24*SIN(gonia_pigi)</f>
        <v>-36.994364720786479</v>
      </c>
      <c r="BL23">
        <f>-V24*SIN(gonia_pigi)+W24*COS(gonia_pigi)</f>
        <v>0.64573903817948997</v>
      </c>
      <c r="BM23">
        <f>X24*COS(gonia_pigi)+Y24*SIN(gonia_pigi)</f>
        <v>-36.994364720786479</v>
      </c>
      <c r="BN23">
        <f>-X24*SIN(gonia_pigi)+Y24*COS(gonia_pigi)</f>
        <v>0.64573903817948997</v>
      </c>
      <c r="BO23">
        <f>Z24*COS(gonia_pigi)+AA24*SIN(gonia_pigi)</f>
        <v>-36.994364720786479</v>
      </c>
      <c r="BP23">
        <f>-Z24*SIN(gonia_pigi)+AA24*COS(gonia_pigi)</f>
        <v>0.64573903817948997</v>
      </c>
    </row>
    <row r="24" spans="3:70" x14ac:dyDescent="0.25">
      <c r="C24" s="3"/>
      <c r="D24" s="3"/>
      <c r="E24" s="3"/>
      <c r="F24" s="3"/>
      <c r="G24" s="3"/>
      <c r="H24" s="3"/>
      <c r="I24" t="s">
        <v>71</v>
      </c>
      <c r="J24">
        <f>XARXI2</f>
        <v>-37</v>
      </c>
      <c r="K24">
        <f>yarxi</f>
        <v>0</v>
      </c>
      <c r="L24">
        <f>XARXI2</f>
        <v>-37</v>
      </c>
      <c r="M24">
        <f>yarxi</f>
        <v>0</v>
      </c>
      <c r="N24">
        <f>XARXI2</f>
        <v>-37</v>
      </c>
      <c r="O24">
        <f>yarxi</f>
        <v>0</v>
      </c>
      <c r="P24">
        <f>XARXI2</f>
        <v>-37</v>
      </c>
      <c r="Q24">
        <f>yarxi</f>
        <v>0</v>
      </c>
      <c r="R24">
        <f>XARXI2</f>
        <v>-37</v>
      </c>
      <c r="S24">
        <f>yarxi</f>
        <v>0</v>
      </c>
      <c r="T24">
        <f>XARXI2</f>
        <v>-37</v>
      </c>
      <c r="U24">
        <f>yarxi</f>
        <v>0</v>
      </c>
      <c r="V24">
        <f>XARXI2</f>
        <v>-37</v>
      </c>
      <c r="W24">
        <f>yarxi</f>
        <v>0</v>
      </c>
      <c r="X24">
        <f>XARXI2</f>
        <v>-37</v>
      </c>
      <c r="Y24">
        <f>yarxi</f>
        <v>0</v>
      </c>
      <c r="Z24">
        <f>XARXI2</f>
        <v>-37</v>
      </c>
      <c r="AA24">
        <f>yarxi</f>
        <v>0</v>
      </c>
      <c r="AB24">
        <f>XARXI2</f>
        <v>-37</v>
      </c>
      <c r="AC24">
        <f>yarxi</f>
        <v>0</v>
      </c>
      <c r="AI24">
        <f>XARXI2</f>
        <v>-37</v>
      </c>
      <c r="AJ24">
        <v>0</v>
      </c>
      <c r="AK24">
        <f>AI24*COS(gonia_pigi)+AJ24*SIN(gonia_pigi)</f>
        <v>-36.994364720786479</v>
      </c>
      <c r="AL24">
        <f>-AI24*SIN(gonia_pigi)+AJ24*COS(gonia_pigi)</f>
        <v>0.64573903817948997</v>
      </c>
      <c r="AS24">
        <f t="shared" si="4"/>
        <v>14</v>
      </c>
      <c r="AT24">
        <f t="shared" si="1"/>
        <v>-8.6</v>
      </c>
      <c r="AU24">
        <f t="shared" si="2"/>
        <v>5.1029403288692299</v>
      </c>
      <c r="AV24">
        <f t="shared" si="3"/>
        <v>-5.1029403288692299</v>
      </c>
      <c r="AX24" t="s">
        <v>69</v>
      </c>
      <c r="AY24">
        <f>J25*COS(gonia_pigi)+K25*SIN(gonia_pigi)</f>
        <v>-4.5153067200543235</v>
      </c>
      <c r="AZ24">
        <f>-J25*SIN(gonia_pigi)+K25*COS(gonia_pigi)</f>
        <v>-8.9225559804258037</v>
      </c>
      <c r="BA24">
        <f>L25*COS(gonia_pigi)+M25*SIN(gonia_pigi)</f>
        <v>-6.1387054224366162</v>
      </c>
      <c r="BB24">
        <f>-L25*SIN(gonia_pigi)+M25*COS(gonia_pigi)</f>
        <v>-7.8940671226274288</v>
      </c>
      <c r="BC24">
        <f>N25*COS(gonia_pigi)+O25*SIN(gonia_pigi)</f>
        <v>-7.2625075994638832</v>
      </c>
      <c r="BD24">
        <f>-N25*SIN(gonia_pigi)+O25*COS(gonia_pigi)</f>
        <v>-6.8742987546170387</v>
      </c>
      <c r="BE24">
        <f>P25*COS(gonia_pigi)+Q25*SIN(gonia_pigi)</f>
        <v>-8.1034959998748306</v>
      </c>
      <c r="BF24">
        <f>-P25*SIN(gonia_pigi)+Q25*COS(gonia_pigi)</f>
        <v>-5.8594669194400799</v>
      </c>
      <c r="BG24">
        <f>R25*COS(gonia_pigi)+S25*SIN(gonia_pigi)</f>
        <v>-8.7461970713939596</v>
      </c>
      <c r="BH24">
        <f>-R25*SIN(gonia_pigi)+S25*COS(gonia_pigi)</f>
        <v>-4.8480962024633705</v>
      </c>
      <c r="BI24">
        <f>T25*COS(gonia_pigi)+U25*SIN(gonia_pigi)</f>
        <v>-9.2335651187117218</v>
      </c>
      <c r="BJ24">
        <f>-T25*SIN(gonia_pigi)+U25*COS(gonia_pigi)</f>
        <v>-3.8394368335095925</v>
      </c>
      <c r="BK24">
        <f>V25*COS(gonia_pigi)+W25*SIN(gonia_pigi)</f>
        <v>-9.5902963378724664</v>
      </c>
      <c r="BL24">
        <f>-V25*SIN(gonia_pigi)+W25*COS(gonia_pigi)</f>
        <v>-2.833057738873312</v>
      </c>
      <c r="BM24">
        <f>X25*COS(gonia_pigi)+Y25*SIN(gonia_pigi)</f>
        <v>-9.8313715073984955</v>
      </c>
      <c r="BN24">
        <f>-X25*SIN(gonia_pigi)+Y25*COS(gonia_pigi)</f>
        <v>-1.8286974280927462</v>
      </c>
      <c r="BO24">
        <f>Z25*COS(gonia_pigi)+AA25*SIN(gonia_pigi)</f>
        <v>-9.9658113634434713</v>
      </c>
      <c r="BP24">
        <f>-Z25*SIN(gonia_pigi)+AA25*COS(gonia_pigi)</f>
        <v>-0.82619844363263328</v>
      </c>
    </row>
    <row r="25" spans="3:70" x14ac:dyDescent="0.25">
      <c r="C25" s="3"/>
      <c r="D25" s="3"/>
      <c r="E25" s="3"/>
      <c r="F25" s="3"/>
      <c r="G25" s="3"/>
      <c r="H25" s="3"/>
      <c r="I25" t="s">
        <v>69</v>
      </c>
      <c r="J25">
        <f>-SQRT(RCYCLE2^2-K25^2)</f>
        <v>-4.358898943540674</v>
      </c>
      <c r="K25">
        <f>-RCYCLE2+K3*STEPp</f>
        <v>-9</v>
      </c>
      <c r="L25">
        <f>-SQRT(RCYCLE2^2-M25^2)</f>
        <v>-6</v>
      </c>
      <c r="M25">
        <f>-RCYCLE2+M3*STEPp</f>
        <v>-8</v>
      </c>
      <c r="N25">
        <f>-SQRT(RCYCLE2^2-O25^2)</f>
        <v>-7.1414284285428504</v>
      </c>
      <c r="O25">
        <f>-RCYCLE2+O3*STEPp</f>
        <v>-7</v>
      </c>
      <c r="P25">
        <f>-SQRT(RCYCLE2^2-Q25^2)</f>
        <v>-8</v>
      </c>
      <c r="Q25">
        <f>-RCYCLE2+Q3*STEPp</f>
        <v>-6</v>
      </c>
      <c r="R25">
        <f>-SQRT(RCYCLE2^2-S25^2)</f>
        <v>-8.6602540378443873</v>
      </c>
      <c r="S25">
        <f>-RCYCLE2+S3*STEPp</f>
        <v>-5</v>
      </c>
      <c r="T25">
        <f>-SQRT(RCYCLE2^2-U25^2)</f>
        <v>-9.1651513899116797</v>
      </c>
      <c r="U25">
        <f>-RCYCLE2+U3*STEPp</f>
        <v>-4</v>
      </c>
      <c r="V25">
        <f>-SQRT(RCYCLE2^2-W25^2)</f>
        <v>-9.5393920141694561</v>
      </c>
      <c r="W25">
        <f>-RCYCLE2+W3*STEPp</f>
        <v>-3</v>
      </c>
      <c r="X25">
        <f>-SQRT(RCYCLE2^2-Y25^2)</f>
        <v>-9.7979589711327115</v>
      </c>
      <c r="Y25">
        <f>-RCYCLE2+Y3*STEPp</f>
        <v>-2</v>
      </c>
      <c r="Z25">
        <f>-SQRT(RCYCLE2^2-AA25^2)</f>
        <v>-9.9498743710661994</v>
      </c>
      <c r="AA25">
        <f>-RCYCLE2+AA3*STEPp</f>
        <v>-1</v>
      </c>
      <c r="AB25">
        <f>-SQRT(RCYCLE2^2-AC25^2)</f>
        <v>-10</v>
      </c>
      <c r="AC25">
        <f>-AC250</f>
        <v>0</v>
      </c>
      <c r="AI25">
        <f>-RCYCLE2*COS(AK$3)</f>
        <v>-2.7027027027027026</v>
      </c>
      <c r="AJ25">
        <f>-RCYCLE2*SIN($AK$3)</f>
        <v>-9.6278449354361495</v>
      </c>
      <c r="AK25">
        <f>AI25*COS(gonia_pigi)+AJ25*SIN(gonia_pigi)</f>
        <v>-2.8703201309186199</v>
      </c>
      <c r="AL25">
        <f>-AI25*SIN(gonia_pigi)+AJ25*COS(gonia_pigi)</f>
        <v>-9.5792099019722574</v>
      </c>
      <c r="AS25">
        <f t="shared" si="4"/>
        <v>15</v>
      </c>
      <c r="AT25">
        <f t="shared" si="1"/>
        <v>-8.5</v>
      </c>
      <c r="AU25">
        <f t="shared" si="2"/>
        <v>5.2678268764263692</v>
      </c>
      <c r="AV25">
        <f t="shared" si="3"/>
        <v>-5.2678268764263692</v>
      </c>
      <c r="AX25" t="s">
        <v>73</v>
      </c>
      <c r="AY25">
        <f>J26*COS(gonia_pigi)+K26*SIN(gonia_pigi)</f>
        <v>9.9869934790603345</v>
      </c>
      <c r="AZ25">
        <f>-J26*SIN(gonia_pigi)+K26*COS(gonia_pigi)</f>
        <v>0.50986395166395204</v>
      </c>
      <c r="BA25">
        <f>L26*COS(gonia_pigi)+M26*SIN(gonia_pigi)</f>
        <v>9.9736484395087981</v>
      </c>
      <c r="BB25">
        <f>-L26*SIN(gonia_pigi)+M26*COS(gonia_pigi)</f>
        <v>-0.72549073397511343</v>
      </c>
      <c r="BC25">
        <f>N26*COS(gonia_pigi)+O26*SIN(gonia_pigi)</f>
        <v>9.9116968147678541</v>
      </c>
      <c r="BD25">
        <f>-N26*SIN(gonia_pigi)+O26*COS(gonia_pigi)</f>
        <v>-1.3259963243240132</v>
      </c>
      <c r="BE25">
        <f>P26*COS(gonia_pigi)+Q26*SIN(gonia_pigi)</f>
        <v>9.874038632008741</v>
      </c>
      <c r="BF25">
        <f>-P26*SIN(gonia_pigi)+Q26*COS(gonia_pigi)</f>
        <v>-1.5822013442033771</v>
      </c>
      <c r="BG25">
        <f>R26*COS(gonia_pigi)+S26*SIN(gonia_pigi)</f>
        <v>9.8687289951949548</v>
      </c>
      <c r="BH25">
        <f>-R26*SIN(gonia_pigi)+S26*COS(gonia_pigi)</f>
        <v>-1.6149885508567567</v>
      </c>
      <c r="BI25">
        <f>T26*COS(gonia_pigi)+U26*SIN(gonia_pigi)</f>
        <v>9.8882318372433158</v>
      </c>
      <c r="BJ25">
        <f>-T26*SIN(gonia_pigi)+U26*COS(gonia_pigi)</f>
        <v>-1.4909296203804161</v>
      </c>
      <c r="BK25">
        <f>V26*COS(gonia_pigi)+W26*SIN(gonia_pigi)</f>
        <v>9.9210843397251036</v>
      </c>
      <c r="BL25">
        <f>-V26*SIN(gonia_pigi)+W26*COS(gonia_pigi)</f>
        <v>-1.253828347127844</v>
      </c>
      <c r="BM25">
        <f>X26*COS(gonia_pigi)+Y26*SIN(gonia_pigi)</f>
        <v>9.956011842197201</v>
      </c>
      <c r="BN25">
        <f>-X26*SIN(gonia_pigi)+Y26*COS(gonia_pigi)</f>
        <v>-0.93692486253119778</v>
      </c>
      <c r="BO25">
        <f>Z26*COS(gonia_pigi)+AA26*SIN(gonia_pigi)</f>
        <v>9.983828544955534</v>
      </c>
      <c r="BP25">
        <f>-Z26*SIN(gonia_pigi)+AA26*COS(gonia_pigi)</f>
        <v>-0.56847830647356168</v>
      </c>
    </row>
    <row r="26" spans="3:70" x14ac:dyDescent="0.25">
      <c r="G26" t="s">
        <v>17</v>
      </c>
      <c r="I26" t="s">
        <v>73</v>
      </c>
      <c r="J26">
        <f>RCYCLE2*COS(K$6)</f>
        <v>9.9765740586682252</v>
      </c>
      <c r="K26">
        <f>-RCYCLE2*SIN(K$6)</f>
        <v>0.68408336619759313</v>
      </c>
      <c r="L26">
        <f>RCYCLE2*COS(M$6)</f>
        <v>9.9847909636988259</v>
      </c>
      <c r="M26">
        <f>-RCYCLE2*SIN(M$6)</f>
        <v>-0.55131607199344979</v>
      </c>
      <c r="N26">
        <f>RCYCLE2*COS(O$6)</f>
        <v>9.933329042121029</v>
      </c>
      <c r="O26">
        <f>-RCYCLE2*SIN(O$6)</f>
        <v>-1.1528114073667541</v>
      </c>
      <c r="P26">
        <f>RCYCLE2*COS(Q$6)</f>
        <v>9.9001479890237594</v>
      </c>
      <c r="Q26">
        <f>-RCYCLE2*SIN(Q$6)</f>
        <v>-1.4096346318918351</v>
      </c>
      <c r="R26">
        <f>RCYCLE2*COS(S$6)</f>
        <v>9.8954113765498342</v>
      </c>
      <c r="S26">
        <f>-RCYCLE2*SIN(S$6)</f>
        <v>-1.4425095108345416</v>
      </c>
      <c r="T26">
        <f>RCYCLE2*COS(U$6)</f>
        <v>9.9127461213440409</v>
      </c>
      <c r="U26">
        <f>-RCYCLE2*SIN(U$6)</f>
        <v>-1.3181291036080953</v>
      </c>
      <c r="V26">
        <f>RCYCLE2*COS(W$6)</f>
        <v>9.9414556324429739</v>
      </c>
      <c r="W26">
        <f>-RCYCLE2*SIN(W$6)</f>
        <v>-1.0804905868020713</v>
      </c>
      <c r="X26">
        <f>RCYCLE2*COS(Y$6)</f>
        <v>9.9708470868726984</v>
      </c>
      <c r="Y26">
        <f>-RCYCLE2*SIN(Y$6)</f>
        <v>-0.76302579917210356</v>
      </c>
      <c r="Z26">
        <f>RCYCLE2*COS(AA$6)</f>
        <v>9.9922292739657337</v>
      </c>
      <c r="AA26">
        <f>-RCYCLE2*SIN(AA$6)</f>
        <v>-0.39414989090728242</v>
      </c>
      <c r="AB26">
        <f>RCYCLE2*COS(AF$6)</f>
        <v>10</v>
      </c>
      <c r="AC26">
        <f>-RCYCLE2*SIN(AF$6)</f>
        <v>0</v>
      </c>
      <c r="AI26">
        <f>RCYCLE2*COS(2*AK5-AK3)</f>
        <v>9.7450807730084268</v>
      </c>
      <c r="AJ26">
        <f>-RCYCLE2*SIN(2*$AK5-$AK$3)</f>
        <v>2.243524175831741</v>
      </c>
      <c r="AK26">
        <f>AI26*COS(gonia_pigi)+AJ26*SIN(gonia_pigi)</f>
        <v>9.782751445773826</v>
      </c>
      <c r="AL26">
        <f>-AI26*SIN(gonia_pigi)+AJ26*COS(gonia_pigi)</f>
        <v>2.0731073658183083</v>
      </c>
      <c r="AS26">
        <f t="shared" si="4"/>
        <v>16</v>
      </c>
      <c r="AT26">
        <f t="shared" si="1"/>
        <v>-8.4</v>
      </c>
      <c r="AU26">
        <f t="shared" si="2"/>
        <v>5.4258639865002145</v>
      </c>
      <c r="AV26">
        <f t="shared" si="3"/>
        <v>-5.4258639865002145</v>
      </c>
      <c r="AX26" t="s">
        <v>74</v>
      </c>
      <c r="AY26">
        <f>J27*COS(gonia_pigi)+K27*SIN(gonia_pigi)</f>
        <v>11.211563529662765</v>
      </c>
      <c r="AZ26">
        <f>-J27*SIN(gonia_pigi)+K27*COS(gonia_pigi)</f>
        <v>9.8058247110819767</v>
      </c>
      <c r="BA26">
        <f>L27*COS(gonia_pigi)+M27*SIN(gonia_pigi)</f>
        <v>15.203318447743026</v>
      </c>
      <c r="BB26">
        <f>-L27*SIN(gonia_pigi)+M27*COS(gonia_pigi)</f>
        <v>9.7361483698093529</v>
      </c>
      <c r="BC26">
        <f>N27*COS(gonia_pigi)+O27*SIN(gonia_pigi)</f>
        <v>19.135938634626992</v>
      </c>
      <c r="BD26">
        <f>-N27*SIN(gonia_pigi)+O27*COS(gonia_pigi)</f>
        <v>9.6675042291092748</v>
      </c>
      <c r="BE26">
        <f>P27*COS(gonia_pigi)+Q27*SIN(gonia_pigi)</f>
        <v>23.451042814474889</v>
      </c>
      <c r="BF26">
        <f>-P27*SIN(gonia_pigi)+Q27*COS(gonia_pigi)</f>
        <v>9.5921838054780064</v>
      </c>
      <c r="BG26">
        <f>R27*COS(gonia_pigi)+S27*SIN(gonia_pigi)</f>
        <v>28.584038050503448</v>
      </c>
      <c r="BH26">
        <f>-R27*SIN(gonia_pigi)+S27*COS(gonia_pigi)</f>
        <v>9.5025870403568966</v>
      </c>
      <c r="BI26">
        <f>T27*COS(gonia_pigi)+U27*SIN(gonia_pigi)</f>
        <v>35.287661854970523</v>
      </c>
      <c r="BJ26">
        <f>-T27*SIN(gonia_pigi)+U27*COS(gonia_pigi)</f>
        <v>9.3855748515955799</v>
      </c>
      <c r="BK26">
        <f>V27*COS(gonia_pigi)+W27*SIN(gonia_pigi)</f>
        <v>45.274559193764482</v>
      </c>
      <c r="BL26">
        <f>-V27*SIN(gonia_pigi)+W27*COS(gonia_pigi)</f>
        <v>9.211252910115487</v>
      </c>
      <c r="BM26">
        <f>X27*COS(gonia_pigi)+Y27*SIN(gonia_pigi)</f>
        <v>63.678646644533103</v>
      </c>
      <c r="BN26">
        <f>-X27*SIN(gonia_pigi)+Y27*COS(gonia_pigi)</f>
        <v>8.8900083687177265</v>
      </c>
      <c r="BO26">
        <f>Z27*COS(gonia_pigi)+AA27*SIN(gonia_pigi)</f>
        <v>116.20556942491585</v>
      </c>
      <c r="BP26">
        <f>-Z27*SIN(gonia_pigi)+AA27*COS(gonia_pigi)</f>
        <v>7.9731475211066742</v>
      </c>
    </row>
    <row r="27" spans="3:70" x14ac:dyDescent="0.25">
      <c r="E27" t="s">
        <v>64</v>
      </c>
      <c r="I27" t="s">
        <v>74</v>
      </c>
      <c r="J27">
        <f>J26-(K26-K27)/TAN(ABS(J35)+ABS(J33)-2*ABS(J31) )</f>
        <v>11.038720715922208</v>
      </c>
      <c r="K27">
        <v>10</v>
      </c>
      <c r="L27">
        <f>L26-(M26-M27)/TAN(ABS(L35)+ABS(L33)-2*ABS(L31) )</f>
        <v>15.0310836902209</v>
      </c>
      <c r="M27">
        <v>10</v>
      </c>
      <c r="N27">
        <f>N26-(O26-O27)/TAN(ABS(N35)+ABS(N33)-2*ABS(N31) )</f>
        <v>18.964302925445367</v>
      </c>
      <c r="O27">
        <v>10</v>
      </c>
      <c r="P27">
        <f>P26-(Q26-Q27)/TAN(ABS(P35)+ABS(P33)-2*ABS(P31) )</f>
        <v>23.280064416672236</v>
      </c>
      <c r="Q27">
        <v>10</v>
      </c>
      <c r="R27">
        <f>R26-(S26-S27)/TAN(ABS(R35)+ABS(R33)-2*ABS(R31) )</f>
        <v>28.413841551824486</v>
      </c>
      <c r="S27">
        <v>10</v>
      </c>
      <c r="T27">
        <f>T26-(U26-U27)/TAN(ABS(T35)+ABS(T33)-2*ABS(T31) )</f>
        <v>35.118486506192788</v>
      </c>
      <c r="U27">
        <v>10</v>
      </c>
      <c r="V27">
        <f>V26-(W26-W27)/TAN(ABS(V35)+ABS(V33)-2*ABS(V31) )</f>
        <v>45.106905129523078</v>
      </c>
      <c r="W27">
        <v>10</v>
      </c>
      <c r="X27">
        <f>X26-(Y26-Y27)/TAN(ABS(X35)+ABS(X33)-2*ABS(X31) )</f>
        <v>63.513796038932981</v>
      </c>
      <c r="Y27">
        <v>10</v>
      </c>
      <c r="Z27">
        <f>Z26-(AA26-AA27)/TAN(ABS(Z35)+ABS(Z33)-2*ABS(Z31) )</f>
        <v>116.04872014271535</v>
      </c>
      <c r="AA27">
        <v>10</v>
      </c>
      <c r="AB27">
        <f>RCYCLE2</f>
        <v>10</v>
      </c>
      <c r="AC27">
        <f>0</f>
        <v>0</v>
      </c>
      <c r="AI27">
        <f>AI26+(AJ27-AJ26)/TAN(PI/2+$AK$3-2*$AK$5)</f>
        <v>7.959375612002999</v>
      </c>
      <c r="AJ27">
        <f>10</f>
        <v>10</v>
      </c>
      <c r="AK27">
        <f>AI27*COS(gonia_pigi)+AJ27*SIN(gonia_pigi)</f>
        <v>8.132687424918025</v>
      </c>
      <c r="AL27">
        <f>-AI27*SIN(gonia_pigi)+AJ27*COS(gonia_pigi)</f>
        <v>9.8595666933962338</v>
      </c>
      <c r="AS27">
        <f t="shared" si="4"/>
        <v>17</v>
      </c>
      <c r="AT27">
        <f t="shared" si="1"/>
        <v>-8.3000000000000007</v>
      </c>
      <c r="AU27">
        <f t="shared" si="2"/>
        <v>5.5776339069537348</v>
      </c>
      <c r="AV27">
        <f t="shared" si="3"/>
        <v>-5.5776339069537348</v>
      </c>
      <c r="AY27" t="s">
        <v>87</v>
      </c>
    </row>
    <row r="28" spans="3:70" x14ac:dyDescent="0.25">
      <c r="I28" t="s">
        <v>70</v>
      </c>
      <c r="J28">
        <f>(J24-J25)*(K24-K25)-(J25)*K25</f>
        <v>-333</v>
      </c>
      <c r="K28">
        <f>ASIN(J29)</f>
        <v>-1.3888105504198947</v>
      </c>
      <c r="L28">
        <f>(L24-L25)*(M24-M25)-(L25)*M25</f>
        <v>-296</v>
      </c>
      <c r="M28">
        <f>ASIN(L29)</f>
        <v>-1.1798494937796717</v>
      </c>
      <c r="N28">
        <f>(N24-N25)*(O24-O25)-(N25)*O25</f>
        <v>-259</v>
      </c>
      <c r="O28">
        <f>ASIN(N29)</f>
        <v>-1.0056773167869706</v>
      </c>
      <c r="P28">
        <f>(P24-P25)*(Q24-Q25)-(P25)*Q25</f>
        <v>-222</v>
      </c>
      <c r="Q28">
        <f>ASIN(P29)</f>
        <v>-0.84751908838583279</v>
      </c>
      <c r="R28">
        <f>(R24-R25)*(S24-S25)-(R25)*S25</f>
        <v>-185</v>
      </c>
      <c r="S28">
        <f>ASIN(R29)</f>
        <v>-0.69823224910692328</v>
      </c>
      <c r="T28">
        <f>(T24-T25)*(U24-U25)-(T25)*U25</f>
        <v>-148</v>
      </c>
      <c r="U28">
        <f>ASIN(T29)</f>
        <v>-0.5542444583024837</v>
      </c>
      <c r="V28">
        <f>(V24-V25)*(W24-W25)-(V25)*W25</f>
        <v>-111</v>
      </c>
      <c r="W28">
        <f>ASIN(V29)</f>
        <v>-0.41350851679170453</v>
      </c>
      <c r="X28">
        <f>(X24-X25)*(Y24-Y25)-(X25)*Y25</f>
        <v>-74</v>
      </c>
      <c r="Y28">
        <f>ASIN(X29)</f>
        <v>-0.27474975928457562</v>
      </c>
      <c r="Z28">
        <f>(Z24-Z25)*(AA24-AA25)-(Z25)*AA25</f>
        <v>-37</v>
      </c>
      <c r="AA28">
        <f>ASIN(Z29)</f>
        <v>-0.13711899885763368</v>
      </c>
      <c r="AB28">
        <f>(AB24-AB25)*(AC24-AC25)-(AB25)*AC25</f>
        <v>0</v>
      </c>
      <c r="AC28">
        <f>ASIN(AB29)</f>
        <v>0</v>
      </c>
      <c r="AS28">
        <f t="shared" si="4"/>
        <v>18</v>
      </c>
      <c r="AT28">
        <f t="shared" si="1"/>
        <v>-8.1999999999999993</v>
      </c>
      <c r="AU28">
        <f t="shared" si="2"/>
        <v>5.7236352085016744</v>
      </c>
      <c r="AV28">
        <f t="shared" si="3"/>
        <v>-5.7236352085016744</v>
      </c>
      <c r="AX28">
        <v>0</v>
      </c>
      <c r="AY28">
        <f t="shared" ref="AY28:AY49" si="5">J50*COS(gonia_pigi)+K50*SIN(gonia_pigi)</f>
        <v>-16.655478599731889</v>
      </c>
      <c r="AZ28">
        <f t="shared" ref="AZ28:AZ49" si="6">-J50*SIN(gonia_pigi)+K50*COS(gonia_pigi)</f>
        <v>5.8735216804450454</v>
      </c>
      <c r="BA28">
        <f t="shared" ref="BA28:BA49" si="7">L50*COS(gonia_pigi)+M50*SIN(gonia_pigi)</f>
        <v>-16.572057435041536</v>
      </c>
      <c r="BB28">
        <f t="shared" ref="BB28:BB49" si="8">-L50*SIN(gonia_pigi)+M50*COS(gonia_pigi)</f>
        <v>5.5375040700068805</v>
      </c>
      <c r="BC28">
        <f t="shared" ref="BC28:BC49" si="9">N50*COS(gonia_pigi)+O50*SIN(gonia_pigi)</f>
        <v>-16.468171110453554</v>
      </c>
      <c r="BD28">
        <f t="shared" ref="BD28:BD49" si="10">-N50*SIN(gonia_pigi)+O50*COS(gonia_pigi)</f>
        <v>5.0814324305509544</v>
      </c>
      <c r="BE28">
        <f t="shared" ref="BE28:BE49" si="11">P50*COS(gonia_pigi)+Q50*SIN(gonia_pigi)</f>
        <v>-16.358772917033029</v>
      </c>
      <c r="BF28">
        <f t="shared" ref="BF28:BF49" si="12">-P50*SIN(gonia_pigi)+Q50*COS(gonia_pigi)</f>
        <v>4.5409092409900751</v>
      </c>
      <c r="BG28">
        <f t="shared" ref="BG28:BG49" si="13">R50*COS(gonia_pigi)+S50*SIN(gonia_pigi)</f>
        <v>-16.253239986775839</v>
      </c>
      <c r="BH28">
        <f t="shared" ref="BH28:BH49" si="14">-R50*SIN(gonia_pigi)+S50*COS(gonia_pigi)</f>
        <v>3.9329483056603407</v>
      </c>
      <c r="BI28">
        <f t="shared" ref="BI28:BI49" si="15">T50*COS(gonia_pigi)+U50*SIN(gonia_pigi)</f>
        <v>-16.15893270841941</v>
      </c>
      <c r="BJ28">
        <f t="shared" ref="BJ28:BJ49" si="16">-T50*SIN(gonia_pigi)+U50*COS(gonia_pigi)</f>
        <v>3.2696241076956039</v>
      </c>
      <c r="BK28">
        <f t="shared" ref="BK28:BK49" si="17">V50*COS(gonia_pigi)+W50*SIN(gonia_pigi)</f>
        <v>-16.081948524707418</v>
      </c>
      <c r="BL28">
        <f t="shared" ref="BL28:BL49" si="18">-V50*SIN(gonia_pigi)+W50*COS(gonia_pigi)</f>
        <v>2.5616849773881589</v>
      </c>
      <c r="BM28">
        <f t="shared" ref="BM28:BM49" si="19">X50*COS(gonia_pigi)+Y50*SIN(gonia_pigi)</f>
        <v>-16.027211923927048</v>
      </c>
      <c r="BN28">
        <f t="shared" ref="BN28:BN49" si="20">-X50*SIN(gonia_pigi)+Y50*COS(gonia_pigi)</f>
        <v>1.81983596482141</v>
      </c>
      <c r="BO28">
        <f t="shared" ref="BO28:BO49" si="21">Z50*COS(gonia_pigi)+AA50*SIN(gonia_pigi)</f>
        <v>-15.998356517126776</v>
      </c>
      <c r="BP28">
        <f t="shared" ref="BP28:BP49" si="22">-Z50*SIN(gonia_pigi)+AA50*COS(gonia_pigi)</f>
        <v>1.0551770821549709</v>
      </c>
    </row>
    <row r="29" spans="3:70" x14ac:dyDescent="0.25">
      <c r="I29" t="s">
        <v>39</v>
      </c>
      <c r="J29">
        <f>J28/SQRT((J24-J25)^2+K25^2)/RCYCLE2</f>
        <v>-0.9834862405258129</v>
      </c>
      <c r="L29">
        <f>L28/SQRT((L24-L25)^2+M25^2)/RCYCLE2</f>
        <v>-0.92454867038054789</v>
      </c>
      <c r="N29">
        <f>N28/SQRT((N24-N25)^2+O25^2)/RCYCLE2</f>
        <v>-0.84452487460188086</v>
      </c>
      <c r="P29">
        <f>P28/SQRT((P24-P25)^2+Q25^2)/RCYCLE2</f>
        <v>-0.74964073493302341</v>
      </c>
      <c r="R29">
        <f>R28/SQRT((R24-R25)^2+S25^2)/RCYCLE2</f>
        <v>-0.64286463091065138</v>
      </c>
      <c r="T29">
        <f>T28/SQRT((T24-T25)^2+U25^2)/RCYCLE2</f>
        <v>-0.5263010146420255</v>
      </c>
      <c r="V29">
        <f>V28/SQRT((V24-V25)^2+W25^2)/RCYCLE2</f>
        <v>-0.40182460181362184</v>
      </c>
      <c r="X29">
        <f>X28/SQRT((X24-X25)^2+Y25^2)/RCYCLE2</f>
        <v>-0.2713060904864385</v>
      </c>
      <c r="Z29">
        <f>Z28/SQRT((Z24-Z25)^2+AA25^2)/RCYCLE2</f>
        <v>-0.1366897260592107</v>
      </c>
      <c r="AB29">
        <f>AB28/SQRT((AB24-AB25)^2+AC25^2)/RCYCLE2</f>
        <v>0</v>
      </c>
      <c r="AS29">
        <f t="shared" si="4"/>
        <v>19</v>
      </c>
      <c r="AT29">
        <f t="shared" si="1"/>
        <v>-8.1</v>
      </c>
      <c r="AU29">
        <f t="shared" si="2"/>
        <v>5.8642987645583</v>
      </c>
      <c r="AV29">
        <f t="shared" si="3"/>
        <v>-5.8642987645583</v>
      </c>
      <c r="AX29">
        <f>AX28</f>
        <v>0</v>
      </c>
      <c r="AY29">
        <f t="shared" si="5"/>
        <v>-16.85031548270366</v>
      </c>
      <c r="AZ29">
        <f t="shared" si="6"/>
        <v>-5.2886758692646447</v>
      </c>
      <c r="BA29">
        <f t="shared" si="7"/>
        <v>-16.755218290445406</v>
      </c>
      <c r="BB29">
        <f t="shared" si="8"/>
        <v>-4.9557743083378956</v>
      </c>
      <c r="BC29">
        <f t="shared" si="9"/>
        <v>-16.63547857992215</v>
      </c>
      <c r="BD29">
        <f t="shared" si="10"/>
        <v>-4.5036060758444769</v>
      </c>
      <c r="BE29">
        <f t="shared" si="11"/>
        <v>-16.507283041653515</v>
      </c>
      <c r="BF29">
        <f t="shared" si="12"/>
        <v>-3.9672301002967689</v>
      </c>
      <c r="BG29">
        <f t="shared" si="13"/>
        <v>-16.380596868548238</v>
      </c>
      <c r="BH29">
        <f t="shared" si="14"/>
        <v>-3.363322564493799</v>
      </c>
      <c r="BI29">
        <f t="shared" si="15"/>
        <v>-16.263197358978129</v>
      </c>
      <c r="BJ29">
        <f t="shared" si="16"/>
        <v>-2.7036937222580644</v>
      </c>
      <c r="BK29">
        <f t="shared" si="17"/>
        <v>-16.161553352607076</v>
      </c>
      <c r="BL29">
        <f t="shared" si="18"/>
        <v>-1.998872558606529</v>
      </c>
      <c r="BM29">
        <f t="shared" si="19"/>
        <v>-16.080959938717143</v>
      </c>
      <c r="BN29">
        <f t="shared" si="20"/>
        <v>-1.2593857402325865</v>
      </c>
      <c r="BO29">
        <f t="shared" si="21"/>
        <v>-16.025435899696891</v>
      </c>
      <c r="BP29">
        <f t="shared" si="22"/>
        <v>-0.4961997062715518</v>
      </c>
    </row>
    <row r="30" spans="3:70" x14ac:dyDescent="0.25">
      <c r="C30" t="s">
        <v>83</v>
      </c>
      <c r="D30">
        <v>1</v>
      </c>
      <c r="E30">
        <f>RADIANS(D30)</f>
        <v>1.7453292519943295E-2</v>
      </c>
      <c r="F30" t="s">
        <v>65</v>
      </c>
      <c r="I30" t="s">
        <v>40</v>
      </c>
      <c r="J30">
        <f>J29/ndd</f>
        <v>-0.50177869414582288</v>
      </c>
      <c r="L30">
        <f>L29/ndd</f>
        <v>-0.4717085052961979</v>
      </c>
      <c r="N30">
        <f>N29/ndd</f>
        <v>-0.43088003806218411</v>
      </c>
      <c r="P30">
        <f>P29/ndd</f>
        <v>-0.38246976272093031</v>
      </c>
      <c r="R30">
        <f>R29/ndd</f>
        <v>-0.32799215862788339</v>
      </c>
      <c r="T30">
        <f>T29/ndd</f>
        <v>-0.2685209258377681</v>
      </c>
      <c r="V30">
        <f>V29/ndd</f>
        <v>-0.20501255194572543</v>
      </c>
      <c r="X30">
        <f>X29/ndd</f>
        <v>-0.13842147473797883</v>
      </c>
      <c r="Z30">
        <f>Z29/ndd</f>
        <v>-6.9739656152658522E-2</v>
      </c>
      <c r="AB30">
        <f>AB29/ndd</f>
        <v>0</v>
      </c>
      <c r="AS30">
        <f t="shared" si="4"/>
        <v>20</v>
      </c>
      <c r="AT30">
        <f t="shared" si="1"/>
        <v>-8</v>
      </c>
      <c r="AU30">
        <f t="shared" si="2"/>
        <v>6</v>
      </c>
      <c r="AV30">
        <f t="shared" si="3"/>
        <v>-6</v>
      </c>
      <c r="AX30">
        <f>AX28+1</f>
        <v>1</v>
      </c>
      <c r="AY30">
        <f t="shared" si="5"/>
        <v>-21.498070533316312</v>
      </c>
      <c r="AZ30">
        <f t="shared" si="6"/>
        <v>4.6288115275246753</v>
      </c>
      <c r="BA30">
        <f t="shared" si="7"/>
        <v>-21.434511550695095</v>
      </c>
      <c r="BB30">
        <f t="shared" si="8"/>
        <v>4.3727981100479782</v>
      </c>
      <c r="BC30">
        <f t="shared" si="9"/>
        <v>-21.355360065294729</v>
      </c>
      <c r="BD30">
        <f t="shared" si="10"/>
        <v>4.0253149561767971</v>
      </c>
      <c r="BE30">
        <f t="shared" si="11"/>
        <v>-21.272009060783848</v>
      </c>
      <c r="BF30">
        <f t="shared" si="12"/>
        <v>3.6134877641304119</v>
      </c>
      <c r="BG30">
        <f t="shared" si="13"/>
        <v>-21.191603018683129</v>
      </c>
      <c r="BH30">
        <f t="shared" si="14"/>
        <v>3.1502794324506143</v>
      </c>
      <c r="BI30">
        <f t="shared" si="15"/>
        <v>-21.119749854221094</v>
      </c>
      <c r="BJ30">
        <f t="shared" si="16"/>
        <v>2.6448895673346247</v>
      </c>
      <c r="BK30">
        <f t="shared" si="17"/>
        <v>-21.061095238059576</v>
      </c>
      <c r="BL30">
        <f t="shared" si="18"/>
        <v>2.1055073728146665</v>
      </c>
      <c r="BM30">
        <f t="shared" si="19"/>
        <v>-21.019391161274534</v>
      </c>
      <c r="BN30">
        <f t="shared" si="20"/>
        <v>1.5402890775257148</v>
      </c>
      <c r="BO30">
        <f t="shared" si="21"/>
        <v>-20.997406089426704</v>
      </c>
      <c r="BP30">
        <f t="shared" si="22"/>
        <v>0.95769183358938015</v>
      </c>
    </row>
    <row r="31" spans="3:70" x14ac:dyDescent="0.25">
      <c r="C31" t="s">
        <v>84</v>
      </c>
      <c r="E31">
        <f>-XARXI2*(TAN(gonia_pigi))</f>
        <v>0.64583740234405063</v>
      </c>
      <c r="I31" t="s">
        <v>41</v>
      </c>
      <c r="J31">
        <f>ASIN(J30)</f>
        <v>-0.52565385530910291</v>
      </c>
      <c r="L31">
        <f>ASIN(L30)</f>
        <v>-0.49122739608478172</v>
      </c>
      <c r="N31">
        <f>ASIN(N30)</f>
        <v>-0.4454677596717585</v>
      </c>
      <c r="P31">
        <f>ASIN(P30)</f>
        <v>-0.39246781841701617</v>
      </c>
      <c r="R31">
        <f>ASIN(R30)</f>
        <v>-0.3341773701711887</v>
      </c>
      <c r="T31">
        <f>ASIN(T30)</f>
        <v>-0.27185723620256202</v>
      </c>
      <c r="V31">
        <f>ASIN(V30)</f>
        <v>-0.20647653158695534</v>
      </c>
      <c r="X31">
        <f>ASIN(X30)</f>
        <v>-0.13886736768190358</v>
      </c>
      <c r="Z31">
        <f>ASIN(Z30)</f>
        <v>-6.9796311431398361E-2</v>
      </c>
      <c r="AB31">
        <f>ASIN(AB30)</f>
        <v>0</v>
      </c>
      <c r="AS31">
        <f t="shared" si="4"/>
        <v>21</v>
      </c>
      <c r="AT31">
        <f t="shared" si="1"/>
        <v>-7.9</v>
      </c>
      <c r="AU31">
        <f t="shared" si="2"/>
        <v>6.1310684223877319</v>
      </c>
      <c r="AV31">
        <f t="shared" si="3"/>
        <v>-6.1310684223877319</v>
      </c>
      <c r="AX31">
        <f>AX30</f>
        <v>1</v>
      </c>
      <c r="AY31">
        <f t="shared" si="5"/>
        <v>-21.64651768224719</v>
      </c>
      <c r="AZ31">
        <f t="shared" si="6"/>
        <v>-3.875719938920803</v>
      </c>
      <c r="BA31">
        <f t="shared" si="7"/>
        <v>-21.574062678621853</v>
      </c>
      <c r="BB31">
        <f t="shared" si="8"/>
        <v>-3.6220806544051851</v>
      </c>
      <c r="BC31">
        <f t="shared" si="9"/>
        <v>-21.482832422985087</v>
      </c>
      <c r="BD31">
        <f t="shared" si="10"/>
        <v>-3.2775715248863899</v>
      </c>
      <c r="BE31">
        <f t="shared" si="11"/>
        <v>-21.385159631923262</v>
      </c>
      <c r="BF31">
        <f t="shared" si="12"/>
        <v>-2.8689041149452792</v>
      </c>
      <c r="BG31">
        <f t="shared" si="13"/>
        <v>-21.288636833366862</v>
      </c>
      <c r="BH31">
        <f t="shared" si="14"/>
        <v>-2.4087840876668256</v>
      </c>
      <c r="BI31">
        <f t="shared" si="15"/>
        <v>-21.199189587980118</v>
      </c>
      <c r="BJ31">
        <f t="shared" si="16"/>
        <v>-1.9062097316776943</v>
      </c>
      <c r="BK31">
        <f t="shared" si="17"/>
        <v>-21.121746535506933</v>
      </c>
      <c r="BL31">
        <f t="shared" si="18"/>
        <v>-1.3692031308003341</v>
      </c>
      <c r="BM31">
        <f t="shared" si="19"/>
        <v>-21.060342029686034</v>
      </c>
      <c r="BN31">
        <f t="shared" si="20"/>
        <v>-0.80578460251542561</v>
      </c>
      <c r="BO31">
        <f t="shared" si="21"/>
        <v>-21.018037999956313</v>
      </c>
      <c r="BP31">
        <f t="shared" si="22"/>
        <v>-0.22430952902130386</v>
      </c>
    </row>
    <row r="32" spans="3:70" x14ac:dyDescent="0.25">
      <c r="I32" t="s">
        <v>43</v>
      </c>
      <c r="J32">
        <f>J31+(J33)</f>
        <v>0.59411565968953128</v>
      </c>
      <c r="L32">
        <f>L31+(L33)</f>
        <v>0.43606782191683047</v>
      </c>
      <c r="N32">
        <f>N31+(N33)</f>
        <v>0.32992973693899458</v>
      </c>
      <c r="P32">
        <f>P31+(P33)</f>
        <v>0.2510332903762682</v>
      </c>
      <c r="R32">
        <f>R31+(R33)</f>
        <v>0.18942140542711011</v>
      </c>
      <c r="T32">
        <f>T31+(T33)</f>
        <v>0.13965960986492598</v>
      </c>
      <c r="V32">
        <f>V31+(V33)</f>
        <v>9.8216122428442187E-2</v>
      </c>
      <c r="X32">
        <f>X31+(X33)</f>
        <v>6.2490553108427244E-2</v>
      </c>
      <c r="Z32">
        <f>Z31+(Z33)</f>
        <v>3.0371109730161439E-2</v>
      </c>
      <c r="AB32">
        <f>AB31+(AB33)</f>
        <v>0</v>
      </c>
      <c r="AS32">
        <f t="shared" si="4"/>
        <v>22</v>
      </c>
      <c r="AT32">
        <f t="shared" si="1"/>
        <v>-7.8</v>
      </c>
      <c r="AU32">
        <f t="shared" si="2"/>
        <v>6.2577951388648065</v>
      </c>
      <c r="AV32">
        <f t="shared" si="3"/>
        <v>-6.2577951388648065</v>
      </c>
      <c r="AX32">
        <f>AX30+1</f>
        <v>2</v>
      </c>
      <c r="AY32">
        <f t="shared" si="5"/>
        <v>-26.340662466900739</v>
      </c>
      <c r="AZ32">
        <f t="shared" si="6"/>
        <v>3.3841013746043043</v>
      </c>
      <c r="BA32">
        <f t="shared" si="7"/>
        <v>-26.296965666348651</v>
      </c>
      <c r="BB32">
        <f t="shared" si="8"/>
        <v>3.2080921500890756</v>
      </c>
      <c r="BC32">
        <f t="shared" si="9"/>
        <v>-26.2425490201359</v>
      </c>
      <c r="BD32">
        <f t="shared" si="10"/>
        <v>2.9691974818026385</v>
      </c>
      <c r="BE32">
        <f t="shared" si="11"/>
        <v>-26.185245204534674</v>
      </c>
      <c r="BF32">
        <f t="shared" si="12"/>
        <v>2.6860662872707493</v>
      </c>
      <c r="BG32">
        <f t="shared" si="13"/>
        <v>-26.129966050590426</v>
      </c>
      <c r="BH32">
        <f t="shared" si="14"/>
        <v>2.3676105592408878</v>
      </c>
      <c r="BI32">
        <f t="shared" si="15"/>
        <v>-26.080567000022779</v>
      </c>
      <c r="BJ32">
        <f t="shared" si="16"/>
        <v>2.020155026973645</v>
      </c>
      <c r="BK32">
        <f t="shared" si="17"/>
        <v>-26.04024195141173</v>
      </c>
      <c r="BL32">
        <f t="shared" si="18"/>
        <v>1.6493297682411736</v>
      </c>
      <c r="BM32">
        <f t="shared" si="19"/>
        <v>-26.011570398622016</v>
      </c>
      <c r="BN32">
        <f t="shared" si="20"/>
        <v>1.2607421902300195</v>
      </c>
      <c r="BO32">
        <f t="shared" si="21"/>
        <v>-25.996455661726632</v>
      </c>
      <c r="BP32">
        <f t="shared" si="22"/>
        <v>0.86020658502378944</v>
      </c>
    </row>
    <row r="33" spans="1:68" x14ac:dyDescent="0.25">
      <c r="I33" t="s">
        <v>42</v>
      </c>
      <c r="J33">
        <f>ATAN(K25/J25)</f>
        <v>1.1197695149986342</v>
      </c>
      <c r="L33">
        <f>ATAN(M25/L25)</f>
        <v>0.92729521800161219</v>
      </c>
      <c r="N33">
        <f>ATAN(O25/N25)</f>
        <v>0.77539749661075308</v>
      </c>
      <c r="P33">
        <f>ATAN(Q25/P25)</f>
        <v>0.64350110879328437</v>
      </c>
      <c r="R33">
        <f>ATAN(S25/R25)</f>
        <v>0.52359877559829882</v>
      </c>
      <c r="T33">
        <f>ATAN(U25/T25)</f>
        <v>0.41151684606748801</v>
      </c>
      <c r="V33">
        <f>ATAN(W25/V25)</f>
        <v>0.30469265401539752</v>
      </c>
      <c r="X33">
        <f>ATAN(Y25/X25)</f>
        <v>0.20135792079033082</v>
      </c>
      <c r="Z33">
        <f>ATAN(AA25/Z25)</f>
        <v>0.1001674211615598</v>
      </c>
      <c r="AB33">
        <f>ATAN(AC25/AB25)</f>
        <v>0</v>
      </c>
      <c r="AS33">
        <f t="shared" si="4"/>
        <v>23</v>
      </c>
      <c r="AT33">
        <f t="shared" si="1"/>
        <v>-7.6999999999999993</v>
      </c>
      <c r="AU33">
        <f t="shared" si="2"/>
        <v>6.3804388563797092</v>
      </c>
      <c r="AV33">
        <f t="shared" si="3"/>
        <v>-6.3804388563797092</v>
      </c>
      <c r="AX33">
        <f>AX32</f>
        <v>2</v>
      </c>
      <c r="AY33">
        <f t="shared" si="5"/>
        <v>-26.442719881790715</v>
      </c>
      <c r="AZ33">
        <f t="shared" si="6"/>
        <v>-2.4627640085769613</v>
      </c>
      <c r="BA33">
        <f t="shared" si="7"/>
        <v>-26.392907066798298</v>
      </c>
      <c r="BB33">
        <f t="shared" si="8"/>
        <v>-2.2883870004724742</v>
      </c>
      <c r="BC33">
        <f t="shared" si="9"/>
        <v>-26.33018626604802</v>
      </c>
      <c r="BD33">
        <f t="shared" si="10"/>
        <v>-2.0515369739283025</v>
      </c>
      <c r="BE33">
        <f t="shared" si="11"/>
        <v>-26.263036222193023</v>
      </c>
      <c r="BF33">
        <f t="shared" si="12"/>
        <v>-1.770578129593789</v>
      </c>
      <c r="BG33">
        <f t="shared" si="13"/>
        <v>-26.196676798185493</v>
      </c>
      <c r="BH33">
        <f t="shared" si="14"/>
        <v>-1.4542456108398518</v>
      </c>
      <c r="BI33">
        <f t="shared" si="15"/>
        <v>-26.135181816982108</v>
      </c>
      <c r="BJ33">
        <f t="shared" si="16"/>
        <v>-1.1087257410973241</v>
      </c>
      <c r="BK33">
        <f t="shared" si="17"/>
        <v>-26.081939718406787</v>
      </c>
      <c r="BL33">
        <f t="shared" si="18"/>
        <v>-0.73953370299413879</v>
      </c>
      <c r="BM33">
        <f t="shared" si="19"/>
        <v>-26.03972412065492</v>
      </c>
      <c r="BN33">
        <f t="shared" si="20"/>
        <v>-0.35218346479826446</v>
      </c>
      <c r="BO33">
        <f t="shared" si="21"/>
        <v>-26.010640100215742</v>
      </c>
      <c r="BP33">
        <f t="shared" si="22"/>
        <v>4.7580648228944145E-2</v>
      </c>
    </row>
    <row r="34" spans="1:68" x14ac:dyDescent="0.25">
      <c r="I34" t="s">
        <v>44</v>
      </c>
      <c r="J34">
        <f>ATAN(K25/(J25-J24))</f>
        <v>-0.26904103542126073</v>
      </c>
      <c r="L34">
        <f>ATAN(M25/(L25-L24))</f>
        <v>-0.25255427577805956</v>
      </c>
      <c r="N34">
        <f>ATAN(O25/(N25-N24))</f>
        <v>-0.23027982017621729</v>
      </c>
      <c r="P34">
        <f>ATAN(Q25/(P25-P24))</f>
        <v>-0.20401797959254858</v>
      </c>
      <c r="R34">
        <f>ATAN(S25/(R25-R24))</f>
        <v>-0.17463347350862449</v>
      </c>
      <c r="T34">
        <f>ATAN(U25/(T25-T24))</f>
        <v>-0.14272761223499578</v>
      </c>
      <c r="V34">
        <f>ATAN(W25/(V25-V24))</f>
        <v>-0.10881586277630696</v>
      </c>
      <c r="X34">
        <f>ATAN(Y25/(X25-X24))</f>
        <v>-7.3391838494244854E-2</v>
      </c>
      <c r="Z34">
        <f>ATAN(AA25/(Z25-Z24))</f>
        <v>-3.6951577696073871E-2</v>
      </c>
      <c r="AB34">
        <f>ATAN(AC25/(AB25-AB24))</f>
        <v>0</v>
      </c>
      <c r="AS34">
        <f t="shared" si="4"/>
        <v>24</v>
      </c>
      <c r="AT34">
        <f t="shared" si="1"/>
        <v>-7.6</v>
      </c>
      <c r="AU34">
        <f t="shared" si="2"/>
        <v>6.4992307237087683</v>
      </c>
      <c r="AV34">
        <f t="shared" si="3"/>
        <v>-6.4992307237087683</v>
      </c>
      <c r="AX34">
        <f>AX32+1</f>
        <v>3</v>
      </c>
      <c r="AY34">
        <f t="shared" si="5"/>
        <v>-31.183254400485168</v>
      </c>
      <c r="AZ34">
        <f t="shared" si="6"/>
        <v>2.1393912216839341</v>
      </c>
      <c r="BA34">
        <f t="shared" si="7"/>
        <v>-31.15941978200221</v>
      </c>
      <c r="BB34">
        <f t="shared" si="8"/>
        <v>2.0433861901301729</v>
      </c>
      <c r="BC34">
        <f t="shared" si="9"/>
        <v>-31.129737974977072</v>
      </c>
      <c r="BD34">
        <f t="shared" si="10"/>
        <v>1.9130800074284799</v>
      </c>
      <c r="BE34">
        <f t="shared" si="11"/>
        <v>-31.098481348285489</v>
      </c>
      <c r="BF34">
        <f t="shared" si="12"/>
        <v>1.7586448104110857</v>
      </c>
      <c r="BG34">
        <f t="shared" si="13"/>
        <v>-31.068329082497719</v>
      </c>
      <c r="BH34">
        <f t="shared" si="14"/>
        <v>1.5849416860311618</v>
      </c>
      <c r="BI34">
        <f t="shared" si="15"/>
        <v>-31.041384145824455</v>
      </c>
      <c r="BJ34">
        <f t="shared" si="16"/>
        <v>1.3954204866126654</v>
      </c>
      <c r="BK34">
        <f t="shared" si="17"/>
        <v>-31.019388664763888</v>
      </c>
      <c r="BL34">
        <f t="shared" si="18"/>
        <v>1.1931521636676812</v>
      </c>
      <c r="BM34">
        <f t="shared" si="19"/>
        <v>-31.003749635969498</v>
      </c>
      <c r="BN34">
        <f t="shared" si="20"/>
        <v>0.98119530293432433</v>
      </c>
      <c r="BO34">
        <f t="shared" si="21"/>
        <v>-30.995505234026563</v>
      </c>
      <c r="BP34">
        <f t="shared" si="22"/>
        <v>0.76272133645819884</v>
      </c>
    </row>
    <row r="35" spans="1:68" x14ac:dyDescent="0.25">
      <c r="I35" t="s">
        <v>13</v>
      </c>
      <c r="J35">
        <f>J34-J33</f>
        <v>-1.3888105504198949</v>
      </c>
      <c r="L35">
        <f>L34-L33</f>
        <v>-1.1798494937796717</v>
      </c>
      <c r="N35">
        <f>N34-N33</f>
        <v>-1.0056773167869704</v>
      </c>
      <c r="P35">
        <f>P34-P33</f>
        <v>-0.84751908838583301</v>
      </c>
      <c r="R35">
        <f>R34-R33</f>
        <v>-0.69823224910692328</v>
      </c>
      <c r="T35">
        <f>T34-T33</f>
        <v>-0.55424445830248381</v>
      </c>
      <c r="V35">
        <f>V34-V33</f>
        <v>-0.41350851679170447</v>
      </c>
      <c r="X35">
        <f>X34-X33</f>
        <v>-0.27474975928457568</v>
      </c>
      <c r="Z35">
        <f>Z34-Z33</f>
        <v>-0.13711899885763368</v>
      </c>
      <c r="AB35">
        <f>AB34-AB33</f>
        <v>0</v>
      </c>
      <c r="AS35">
        <f t="shared" si="4"/>
        <v>25</v>
      </c>
      <c r="AT35">
        <f t="shared" si="1"/>
        <v>-7.5</v>
      </c>
      <c r="AU35">
        <f t="shared" si="2"/>
        <v>6.6143782776614763</v>
      </c>
      <c r="AV35">
        <f t="shared" si="3"/>
        <v>-6.6143782776614763</v>
      </c>
      <c r="AX35">
        <f>AX34</f>
        <v>3</v>
      </c>
      <c r="AY35">
        <f t="shared" si="5"/>
        <v>-31.238922081334245</v>
      </c>
      <c r="AZ35">
        <f t="shared" si="6"/>
        <v>-1.0498080782331198</v>
      </c>
      <c r="BA35">
        <f t="shared" si="7"/>
        <v>-31.211751454974745</v>
      </c>
      <c r="BB35">
        <f t="shared" si="8"/>
        <v>-0.95469334653976301</v>
      </c>
      <c r="BC35">
        <f t="shared" si="9"/>
        <v>-31.177540109110954</v>
      </c>
      <c r="BD35">
        <f t="shared" si="10"/>
        <v>-0.82550242297021503</v>
      </c>
      <c r="BE35">
        <f t="shared" si="11"/>
        <v>-31.140912812462773</v>
      </c>
      <c r="BF35">
        <f t="shared" si="12"/>
        <v>-0.6722521442422984</v>
      </c>
      <c r="BG35">
        <f t="shared" si="13"/>
        <v>-31.10471676300412</v>
      </c>
      <c r="BH35">
        <f t="shared" si="14"/>
        <v>-0.49970713401287858</v>
      </c>
      <c r="BI35">
        <f t="shared" si="15"/>
        <v>-31.07117404598409</v>
      </c>
      <c r="BJ35">
        <f t="shared" si="16"/>
        <v>-0.31124175051695413</v>
      </c>
      <c r="BK35">
        <f t="shared" si="17"/>
        <v>-31.042132901306644</v>
      </c>
      <c r="BL35">
        <f t="shared" si="18"/>
        <v>-0.10986427518794406</v>
      </c>
      <c r="BM35">
        <f t="shared" si="19"/>
        <v>-31.019106211623814</v>
      </c>
      <c r="BN35">
        <f t="shared" si="20"/>
        <v>0.1014176729188967</v>
      </c>
      <c r="BO35">
        <f t="shared" si="21"/>
        <v>-31.003242200475167</v>
      </c>
      <c r="BP35">
        <f t="shared" si="22"/>
        <v>0.31947082547919226</v>
      </c>
    </row>
    <row r="36" spans="1:68" x14ac:dyDescent="0.25">
      <c r="I36" t="s">
        <v>42</v>
      </c>
      <c r="J36">
        <f>DEGREES(J33)</f>
        <v>64.158067236832878</v>
      </c>
      <c r="L36">
        <f>DEGREES(L33)</f>
        <v>53.13010235415598</v>
      </c>
      <c r="N36">
        <f>DEGREES(N33)</f>
        <v>44.427004000805709</v>
      </c>
      <c r="P36">
        <f>DEGREES(P33)</f>
        <v>36.86989764584402</v>
      </c>
      <c r="R36">
        <f>DEGREES(R33)</f>
        <v>29.999999999999996</v>
      </c>
      <c r="T36">
        <f>DEGREES(T33)</f>
        <v>23.578178478201831</v>
      </c>
      <c r="V36">
        <f>DEGREES(V33)</f>
        <v>17.457603123722095</v>
      </c>
      <c r="X36">
        <f>DEGREES(X33)</f>
        <v>11.53695903281549</v>
      </c>
      <c r="Z36">
        <f>DEGREES(Z33)</f>
        <v>5.7391704772667866</v>
      </c>
      <c r="AB36">
        <f>DEGREES(AB33)</f>
        <v>0</v>
      </c>
      <c r="AS36">
        <f t="shared" si="4"/>
        <v>26</v>
      </c>
      <c r="AT36">
        <f t="shared" si="1"/>
        <v>-7.4</v>
      </c>
      <c r="AU36">
        <f t="shared" si="2"/>
        <v>6.726068688320094</v>
      </c>
      <c r="AV36">
        <f t="shared" si="3"/>
        <v>-6.726068688320094</v>
      </c>
      <c r="AX36">
        <f>AX34+1</f>
        <v>4</v>
      </c>
      <c r="AY36">
        <f t="shared" si="5"/>
        <v>-36.025846334069591</v>
      </c>
      <c r="AZ36">
        <f t="shared" si="6"/>
        <v>0.89468106876356401</v>
      </c>
      <c r="BA36">
        <f t="shared" si="7"/>
        <v>-36.021873897655766</v>
      </c>
      <c r="BB36">
        <f t="shared" si="8"/>
        <v>0.87868023017127039</v>
      </c>
      <c r="BC36">
        <f t="shared" si="9"/>
        <v>-36.01692692981824</v>
      </c>
      <c r="BD36">
        <f t="shared" si="10"/>
        <v>0.85696253305432157</v>
      </c>
      <c r="BE36">
        <f t="shared" si="11"/>
        <v>-36.011717492036318</v>
      </c>
      <c r="BF36">
        <f t="shared" si="12"/>
        <v>0.83122333355142264</v>
      </c>
      <c r="BG36">
        <f t="shared" si="13"/>
        <v>-36.006692114405013</v>
      </c>
      <c r="BH36">
        <f t="shared" si="14"/>
        <v>0.80227281282143525</v>
      </c>
      <c r="BI36">
        <f t="shared" si="15"/>
        <v>-36.002201291626136</v>
      </c>
      <c r="BJ36">
        <f t="shared" si="16"/>
        <v>0.77068594625168574</v>
      </c>
      <c r="BK36">
        <f t="shared" si="17"/>
        <v>-35.998535378116053</v>
      </c>
      <c r="BL36">
        <f t="shared" si="18"/>
        <v>0.73697455909418852</v>
      </c>
      <c r="BM36">
        <f t="shared" si="19"/>
        <v>-35.995928873316984</v>
      </c>
      <c r="BN36">
        <f t="shared" si="20"/>
        <v>0.70164841563862901</v>
      </c>
      <c r="BO36">
        <f t="shared" si="21"/>
        <v>-35.994554806326491</v>
      </c>
      <c r="BP36">
        <f t="shared" si="22"/>
        <v>0.66523608789260802</v>
      </c>
    </row>
    <row r="37" spans="1:68" x14ac:dyDescent="0.25">
      <c r="A37" t="s">
        <v>93</v>
      </c>
      <c r="I37" t="s">
        <v>41</v>
      </c>
      <c r="J37">
        <f>DEGREES(J31)</f>
        <v>-30.117747393992037</v>
      </c>
      <c r="L37">
        <f>DEGREES(L31)</f>
        <v>-28.145256576859211</v>
      </c>
      <c r="N37">
        <f>DEGREES(N31)</f>
        <v>-25.523422538339819</v>
      </c>
      <c r="P37">
        <f>DEGREES(P31)</f>
        <v>-22.486749590001789</v>
      </c>
      <c r="R37">
        <f>DEGREES(R31)</f>
        <v>-19.14695291959012</v>
      </c>
      <c r="T37">
        <f>DEGREES(T31)</f>
        <v>-15.576272264497936</v>
      </c>
      <c r="V37">
        <f>DEGREES(V31)</f>
        <v>-11.830233828432171</v>
      </c>
      <c r="X37">
        <f>DEGREES(X31)</f>
        <v>-7.9565140802644816</v>
      </c>
      <c r="Z37">
        <f>DEGREES(Z31)</f>
        <v>-3.9990340705998277</v>
      </c>
      <c r="AB37">
        <f>DEGREES(AB31)</f>
        <v>0</v>
      </c>
      <c r="AS37">
        <f t="shared" si="4"/>
        <v>27</v>
      </c>
      <c r="AT37">
        <f t="shared" si="1"/>
        <v>-7.3</v>
      </c>
      <c r="AU37">
        <f t="shared" si="2"/>
        <v>6.8344714499367107</v>
      </c>
      <c r="AV37">
        <f t="shared" si="3"/>
        <v>-6.8344714499367107</v>
      </c>
      <c r="AX37">
        <f>AX36</f>
        <v>4</v>
      </c>
      <c r="AY37">
        <f t="shared" si="5"/>
        <v>-36.035124280877774</v>
      </c>
      <c r="AZ37">
        <f t="shared" si="6"/>
        <v>0.36314785211072165</v>
      </c>
      <c r="BA37">
        <f t="shared" si="7"/>
        <v>-36.03059584315119</v>
      </c>
      <c r="BB37">
        <f t="shared" si="8"/>
        <v>0.37900030739294777</v>
      </c>
      <c r="BC37">
        <f t="shared" si="9"/>
        <v>-36.024893952173883</v>
      </c>
      <c r="BD37">
        <f t="shared" si="10"/>
        <v>0.40053212798787241</v>
      </c>
      <c r="BE37">
        <f t="shared" si="11"/>
        <v>-36.01878940273253</v>
      </c>
      <c r="BF37">
        <f t="shared" si="12"/>
        <v>0.42607384110919189</v>
      </c>
      <c r="BG37">
        <f t="shared" si="13"/>
        <v>-36.012756727822747</v>
      </c>
      <c r="BH37">
        <f t="shared" si="14"/>
        <v>0.45483134281409521</v>
      </c>
      <c r="BI37">
        <f t="shared" si="15"/>
        <v>-36.007166274986076</v>
      </c>
      <c r="BJ37">
        <f t="shared" si="16"/>
        <v>0.48624224006341588</v>
      </c>
      <c r="BK37">
        <f t="shared" si="17"/>
        <v>-36.002326084206508</v>
      </c>
      <c r="BL37">
        <f t="shared" si="18"/>
        <v>0.519805152618251</v>
      </c>
      <c r="BM37">
        <f t="shared" si="19"/>
        <v>-35.998488302592705</v>
      </c>
      <c r="BN37">
        <f t="shared" si="20"/>
        <v>0.55501881063605774</v>
      </c>
      <c r="BO37">
        <f t="shared" si="21"/>
        <v>-35.995844300734589</v>
      </c>
      <c r="BP37">
        <f t="shared" si="22"/>
        <v>0.59136100272944025</v>
      </c>
    </row>
    <row r="38" spans="1:68" x14ac:dyDescent="0.25">
      <c r="A38">
        <f>ndd*RCYCLE2/(ndd-1)</f>
        <v>20.416666666666668</v>
      </c>
      <c r="B38">
        <f>f_point</f>
        <v>20.416666666666668</v>
      </c>
      <c r="C38">
        <v>0</v>
      </c>
      <c r="I38" t="s">
        <v>46</v>
      </c>
      <c r="J38">
        <f>ATAN(K25/(J25-XARXI2))</f>
        <v>-0.26904103542126073</v>
      </c>
      <c r="L38">
        <f>ATAN(M25/(L25-XARXI2))</f>
        <v>-0.25255427577805956</v>
      </c>
      <c r="N38">
        <f>ATAN(O25/(N25-XARXI2))</f>
        <v>-0.23027982017621729</v>
      </c>
      <c r="P38">
        <f>ATAN(Q25/(P25-XARXI2))</f>
        <v>-0.20401797959254858</v>
      </c>
      <c r="R38">
        <f>ATAN(S25/(R25-XARXI2))</f>
        <v>-0.17463347350862449</v>
      </c>
      <c r="T38">
        <f>ATAN(U25/(T25-XARXI2))</f>
        <v>-0.14272761223499578</v>
      </c>
      <c r="V38">
        <f>ATAN(W25/(V25-XARXI2))</f>
        <v>-0.10881586277630696</v>
      </c>
      <c r="X38">
        <f>ATAN(Y25/(X25-XARXI2))</f>
        <v>-7.3391838494244854E-2</v>
      </c>
      <c r="Z38">
        <f>ATAN(AA25/(Z25-XARXI2))</f>
        <v>-3.6951577696073871E-2</v>
      </c>
      <c r="AB38">
        <f>ATAN(AC25/(AB25-XARXI2))</f>
        <v>0</v>
      </c>
      <c r="AS38">
        <f t="shared" si="4"/>
        <v>28</v>
      </c>
      <c r="AT38">
        <f t="shared" si="1"/>
        <v>-7.1999999999999993</v>
      </c>
      <c r="AU38">
        <f t="shared" si="2"/>
        <v>6.9397406291589894</v>
      </c>
      <c r="AV38">
        <f t="shared" si="3"/>
        <v>-6.9397406291589894</v>
      </c>
      <c r="AX38">
        <f>AX36+1</f>
        <v>5</v>
      </c>
      <c r="AY38">
        <f t="shared" si="5"/>
        <v>-36.994364720786479</v>
      </c>
      <c r="AZ38">
        <f t="shared" si="6"/>
        <v>0.64573903817948997</v>
      </c>
      <c r="BA38">
        <f t="shared" si="7"/>
        <v>-36.994364720786479</v>
      </c>
      <c r="BB38">
        <f t="shared" si="8"/>
        <v>0.64573903817948997</v>
      </c>
      <c r="BC38">
        <f t="shared" si="9"/>
        <v>-36.994364720786479</v>
      </c>
      <c r="BD38">
        <f t="shared" si="10"/>
        <v>0.64573903817948997</v>
      </c>
      <c r="BE38">
        <f t="shared" si="11"/>
        <v>-36.994364720786479</v>
      </c>
      <c r="BF38">
        <f t="shared" si="12"/>
        <v>0.64573903817948997</v>
      </c>
      <c r="BG38">
        <f t="shared" si="13"/>
        <v>-36.994364720786479</v>
      </c>
      <c r="BH38">
        <f t="shared" si="14"/>
        <v>0.64573903817948997</v>
      </c>
      <c r="BI38">
        <f t="shared" si="15"/>
        <v>-36.994364720786479</v>
      </c>
      <c r="BJ38">
        <f t="shared" si="16"/>
        <v>0.64573903817948997</v>
      </c>
      <c r="BK38">
        <f t="shared" si="17"/>
        <v>-36.994364720786479</v>
      </c>
      <c r="BL38">
        <f t="shared" si="18"/>
        <v>0.64573903817948997</v>
      </c>
      <c r="BM38">
        <f t="shared" si="19"/>
        <v>-36.994364720786479</v>
      </c>
      <c r="BN38">
        <f t="shared" si="20"/>
        <v>0.64573903817948997</v>
      </c>
      <c r="BO38">
        <f t="shared" si="21"/>
        <v>-36.994364720786479</v>
      </c>
      <c r="BP38">
        <f t="shared" si="22"/>
        <v>0.64573903817948997</v>
      </c>
    </row>
    <row r="39" spans="1:68" x14ac:dyDescent="0.25">
      <c r="B39">
        <f>B38</f>
        <v>20.416666666666668</v>
      </c>
      <c r="C39">
        <v>0</v>
      </c>
      <c r="D39" t="s">
        <v>94</v>
      </c>
      <c r="F39" t="s">
        <v>78</v>
      </c>
      <c r="G39" t="s">
        <v>76</v>
      </c>
      <c r="I39" t="s">
        <v>21</v>
      </c>
      <c r="J39">
        <f>(J8-XARXI2)/caera1</f>
        <v>32.641101056459327</v>
      </c>
      <c r="K39">
        <f>SQRT((J9-J8)^2+(K9-K8)^2)/cmeso1</f>
        <v>25.949881076628884</v>
      </c>
      <c r="L39">
        <f>(L8-XARXI2)/caera</f>
        <v>31</v>
      </c>
      <c r="M39">
        <f>SQRT((L9-L8)^2+(M9-M8)^2)/cmeso</f>
        <v>26.452636492949132</v>
      </c>
      <c r="N39">
        <f>(N8-XARXI2)/caera</f>
        <v>29.858571571457148</v>
      </c>
      <c r="O39">
        <f>SQRT((N9-N8)^2+(O9-O8)^2)/cmeso</f>
        <v>27.072276474644269</v>
      </c>
      <c r="P39">
        <f>(P8-XARXI2)/caera</f>
        <v>29</v>
      </c>
      <c r="Q39">
        <f>SQRT((P9-P8)^2+(Q9-Q8)^2)/cmeso</f>
        <v>27.719040252934004</v>
      </c>
      <c r="R39">
        <f>(R8-XARXI2)/caera</f>
        <v>28.339745962155611</v>
      </c>
      <c r="S39">
        <f>SQRT((R9-R8)^2+(S9-S8)^2)/cmeso</f>
        <v>28.340413361324835</v>
      </c>
      <c r="T39">
        <f>(T8-XARXI2)/caera</f>
        <v>27.834848610088322</v>
      </c>
      <c r="U39">
        <f>SQRT((T9-T8)^2+(U9-U8)^2)/cmeso</f>
        <v>28.898215535712673</v>
      </c>
      <c r="V39">
        <f>(V8-XARXI2)/caera</f>
        <v>27.460607985830542</v>
      </c>
      <c r="W39">
        <f>SQRT((V9-V8)^2+(W9-W8)^2)/cmeso</f>
        <v>29.362780321186062</v>
      </c>
      <c r="X39">
        <f>(X8-XARXI2)/caera</f>
        <v>27.202041028867288</v>
      </c>
      <c r="Y39">
        <f>SQRT((X9-X8)^2+(Y9-Y8)^2)/cmeso</f>
        <v>29.711202362042279</v>
      </c>
      <c r="Z39">
        <f>(Z8-XARXI2)/caera</f>
        <v>27.050125628933799</v>
      </c>
      <c r="AA39">
        <f>SQRT((Z9-Z8)^2+(AA9-AA8)^2)/cmeso</f>
        <v>29.926956783537786</v>
      </c>
      <c r="AB39">
        <f>(-RCYCLE2-XARXI2)/caera</f>
        <v>27</v>
      </c>
      <c r="AC39">
        <f>2*RCYCLE2/cmeso</f>
        <v>30</v>
      </c>
      <c r="AS39">
        <f t="shared" si="4"/>
        <v>29</v>
      </c>
      <c r="AT39">
        <f t="shared" si="1"/>
        <v>-7.1</v>
      </c>
      <c r="AU39">
        <f t="shared" si="2"/>
        <v>7.0420167565833021</v>
      </c>
      <c r="AV39">
        <f t="shared" si="3"/>
        <v>-7.0420167565833021</v>
      </c>
      <c r="AX39">
        <f>AX38</f>
        <v>5</v>
      </c>
      <c r="AY39">
        <f t="shared" si="5"/>
        <v>-36.994364720786479</v>
      </c>
      <c r="AZ39">
        <f t="shared" si="6"/>
        <v>0.64573903817948997</v>
      </c>
      <c r="BA39">
        <f t="shared" si="7"/>
        <v>-36.994364720786479</v>
      </c>
      <c r="BB39">
        <f t="shared" si="8"/>
        <v>0.64573903817948997</v>
      </c>
      <c r="BC39">
        <f t="shared" si="9"/>
        <v>-36.994364720786479</v>
      </c>
      <c r="BD39">
        <f t="shared" si="10"/>
        <v>0.64573903817948997</v>
      </c>
      <c r="BE39">
        <f t="shared" si="11"/>
        <v>-36.994364720786479</v>
      </c>
      <c r="BF39">
        <f t="shared" si="12"/>
        <v>0.64573903817948997</v>
      </c>
      <c r="BG39">
        <f t="shared" si="13"/>
        <v>-36.994364720786479</v>
      </c>
      <c r="BH39">
        <f t="shared" si="14"/>
        <v>0.64573903817948997</v>
      </c>
      <c r="BI39">
        <f t="shared" si="15"/>
        <v>-36.994364720786479</v>
      </c>
      <c r="BJ39">
        <f t="shared" si="16"/>
        <v>0.64573903817948997</v>
      </c>
      <c r="BK39">
        <f t="shared" si="17"/>
        <v>-36.994364720786479</v>
      </c>
      <c r="BL39">
        <f t="shared" si="18"/>
        <v>0.64573903817948997</v>
      </c>
      <c r="BM39">
        <f t="shared" si="19"/>
        <v>-36.994364720786479</v>
      </c>
      <c r="BN39">
        <f t="shared" si="20"/>
        <v>0.64573903817948997</v>
      </c>
      <c r="BO39">
        <f t="shared" si="21"/>
        <v>-36.994364720786479</v>
      </c>
      <c r="BP39">
        <f t="shared" si="22"/>
        <v>0.64573903817948997</v>
      </c>
    </row>
    <row r="40" spans="1:68" x14ac:dyDescent="0.25">
      <c r="B40">
        <f>-B38</f>
        <v>-20.416666666666668</v>
      </c>
      <c r="C40">
        <v>0</v>
      </c>
      <c r="F40" t="s">
        <v>77</v>
      </c>
      <c r="G40" t="s">
        <v>76</v>
      </c>
      <c r="I40" t="s">
        <v>22</v>
      </c>
      <c r="J40">
        <f>(J25-XARXI2)/caera</f>
        <v>32.641101056459327</v>
      </c>
      <c r="K40">
        <f>SQRT((J26-J25)^2+(K26-K25)^2)/cmeso</f>
        <v>25.949881076628884</v>
      </c>
      <c r="L40">
        <f>(L25-XARXI2)/caera</f>
        <v>31</v>
      </c>
      <c r="M40">
        <f>SQRT((L26-L25)^2+(M26-M25)^2)/cmeso</f>
        <v>26.452636492949132</v>
      </c>
      <c r="N40">
        <f>(N25-XARXI2)/caera</f>
        <v>29.858571571457148</v>
      </c>
      <c r="O40">
        <f>SQRT((N26-N25)^2+(O26-O25)^2)/cmeso</f>
        <v>27.072276474644269</v>
      </c>
      <c r="P40">
        <f>(P25-XARXI2)/caera</f>
        <v>29</v>
      </c>
      <c r="Q40">
        <f>SQRT((P26-P25)^2+(Q26-Q25)^2)/cmeso</f>
        <v>27.719040252934004</v>
      </c>
      <c r="R40">
        <f>(R25-XARXI2)/caera</f>
        <v>28.339745962155611</v>
      </c>
      <c r="S40">
        <f>SQRT((R26-R25)^2+(S26-S25)^2)/cmeso</f>
        <v>28.340413361324835</v>
      </c>
      <c r="T40">
        <f>(T25-XARXI2)/caera</f>
        <v>27.834848610088322</v>
      </c>
      <c r="U40">
        <f>SQRT((T26-T25)^2+(U26-U25)^2)/cmeso</f>
        <v>28.898215535712673</v>
      </c>
      <c r="V40">
        <f>(V25-XARXI2)/caera</f>
        <v>27.460607985830542</v>
      </c>
      <c r="W40">
        <f>SQRT((V26-V25)^2+(W26-W25)^2)/cmeso</f>
        <v>29.362780321186062</v>
      </c>
      <c r="X40">
        <f>(X25-XARXI2)/caera</f>
        <v>27.202041028867288</v>
      </c>
      <c r="Y40">
        <f>SQRT((X26-X25)^2+(Y26-Y25)^2)/cmeso</f>
        <v>29.711202362042279</v>
      </c>
      <c r="Z40">
        <f>(Z25-XARXI2)/caera</f>
        <v>27.050125628933799</v>
      </c>
      <c r="AA40">
        <f>SQRT((Z26-Z25)^2+(AA26-AA25)^2)/cmeso</f>
        <v>29.926956783537786</v>
      </c>
      <c r="AB40">
        <f>(AB25-XARXI2)/caera</f>
        <v>27</v>
      </c>
      <c r="AC40">
        <f>SQRT((AB26-AB25)^2+(AC26-AC25)^2)/cmeso</f>
        <v>30</v>
      </c>
      <c r="AS40">
        <f t="shared" si="4"/>
        <v>30</v>
      </c>
      <c r="AT40">
        <f t="shared" si="1"/>
        <v>-7</v>
      </c>
      <c r="AU40">
        <f t="shared" si="2"/>
        <v>7.1414284285428504</v>
      </c>
      <c r="AV40">
        <f t="shared" si="3"/>
        <v>-7.1414284285428504</v>
      </c>
      <c r="AX40">
        <f>AX38+1</f>
        <v>6</v>
      </c>
      <c r="AY40">
        <f t="shared" si="5"/>
        <v>-36.994364720786479</v>
      </c>
      <c r="AZ40">
        <f t="shared" si="6"/>
        <v>0.64573903817948997</v>
      </c>
      <c r="BA40">
        <f t="shared" si="7"/>
        <v>-36.994364720786479</v>
      </c>
      <c r="BB40">
        <f t="shared" si="8"/>
        <v>0.64573903817948997</v>
      </c>
      <c r="BC40">
        <f t="shared" si="9"/>
        <v>-36.994364720786479</v>
      </c>
      <c r="BD40">
        <f t="shared" si="10"/>
        <v>0.64573903817948997</v>
      </c>
      <c r="BE40">
        <f t="shared" si="11"/>
        <v>-36.994364720786479</v>
      </c>
      <c r="BF40">
        <f t="shared" si="12"/>
        <v>0.64573903817948997</v>
      </c>
      <c r="BG40">
        <f t="shared" si="13"/>
        <v>-36.994364720786479</v>
      </c>
      <c r="BH40">
        <f t="shared" si="14"/>
        <v>0.64573903817948997</v>
      </c>
      <c r="BI40">
        <f t="shared" si="15"/>
        <v>-36.994364720786479</v>
      </c>
      <c r="BJ40">
        <f t="shared" si="16"/>
        <v>0.64573903817948997</v>
      </c>
      <c r="BK40">
        <f t="shared" si="17"/>
        <v>-36.994364720786479</v>
      </c>
      <c r="BL40">
        <f t="shared" si="18"/>
        <v>0.64573903817948997</v>
      </c>
      <c r="BM40">
        <f t="shared" si="19"/>
        <v>-36.994364720786479</v>
      </c>
      <c r="BN40">
        <f t="shared" si="20"/>
        <v>0.64573903817948997</v>
      </c>
      <c r="BO40">
        <f t="shared" si="21"/>
        <v>-36.994364720786479</v>
      </c>
      <c r="BP40">
        <f t="shared" si="22"/>
        <v>0.64573903817948997</v>
      </c>
    </row>
    <row r="41" spans="1:68" x14ac:dyDescent="0.25">
      <c r="B41">
        <f>B40</f>
        <v>-20.416666666666668</v>
      </c>
      <c r="C41">
        <v>0</v>
      </c>
      <c r="D41" t="s">
        <v>95</v>
      </c>
      <c r="F41" t="s">
        <v>78</v>
      </c>
      <c r="G41" t="s">
        <v>79</v>
      </c>
      <c r="I41" t="s">
        <v>23</v>
      </c>
      <c r="J41">
        <f>SQRT((J10-J9)^2+(K10-K9)^2)/caera</f>
        <v>9.3762710204788871</v>
      </c>
      <c r="K41">
        <f>ATAN((K9-K8)/(J9-J8))</f>
        <v>-0.59411565968953117</v>
      </c>
      <c r="L41">
        <f>SQRT((L10-L9)^2+(M10-M9)^2)/caera</f>
        <v>11.695954049706971</v>
      </c>
      <c r="M41">
        <f>ATAN((M9-M8)/(L9-L8))</f>
        <v>-0.43606782191683036</v>
      </c>
      <c r="N41">
        <f>SQRT((N10-N9)^2+(O10-O9)^2)/caera</f>
        <v>14.350738363219373</v>
      </c>
      <c r="O41">
        <f>ATAN((O9-O8)/(N9-N8))</f>
        <v>-0.32992973693899458</v>
      </c>
      <c r="P41">
        <f>SQRT((P10-P9)^2+(Q10-Q9)^2)/caera</f>
        <v>17.584138478871324</v>
      </c>
      <c r="Q41">
        <f>ATAN((Q9-Q8)/(P9-P8))</f>
        <v>-0.25103329037626826</v>
      </c>
      <c r="R41">
        <f>SQRT((R10-R9)^2+(S10-S9)^2)/caera</f>
        <v>21.768400953263924</v>
      </c>
      <c r="S41">
        <f>ATAN((S9-S8)/(R9-R8))</f>
        <v>-0.18942140542711014</v>
      </c>
      <c r="T41">
        <f>SQRT((T10-T9)^2+(U10-U9)^2)/caera</f>
        <v>27.630226107549962</v>
      </c>
      <c r="U41">
        <f>ATAN((U9-U8)/(T9-T8))</f>
        <v>-0.13965960986492601</v>
      </c>
      <c r="V41">
        <f>SQRT((V10-V9)^2+(W10-W9)^2)/caera</f>
        <v>36.86985367445741</v>
      </c>
      <c r="W41">
        <f>ATAN((W9-W8)/(V9-V8))</f>
        <v>-9.8216122428442174E-2</v>
      </c>
      <c r="X41">
        <f>SQRT((X10-X9)^2+(Y10-Y9)^2)/caera</f>
        <v>54.614010169887521</v>
      </c>
      <c r="Y41">
        <f>ATAN((Y9-Y8)/(X9-X8))</f>
        <v>-6.249055310842723E-2</v>
      </c>
      <c r="Z41">
        <f>SQRT((Z10-Z9)^2+(AA10-AA9)^2)/caera</f>
        <v>106.56461705157027</v>
      </c>
      <c r="AA41">
        <f>ATAN((AA9-AA8)/(Z9-Z8))</f>
        <v>-3.0371109730161432E-2</v>
      </c>
      <c r="AB41">
        <f>SQRT((AB10-AB9)^2+(AC10-AC9)^2)/caera</f>
        <v>40</v>
      </c>
      <c r="AC41">
        <v>0</v>
      </c>
      <c r="AS41">
        <f t="shared" si="4"/>
        <v>31</v>
      </c>
      <c r="AT41">
        <f t="shared" si="1"/>
        <v>-6.9</v>
      </c>
      <c r="AU41">
        <f t="shared" si="2"/>
        <v>7.2380936716790281</v>
      </c>
      <c r="AV41">
        <f t="shared" si="3"/>
        <v>-7.2380936716790281</v>
      </c>
      <c r="AX41">
        <f>AX40</f>
        <v>6</v>
      </c>
      <c r="AY41">
        <f t="shared" si="5"/>
        <v>-36.994364720786479</v>
      </c>
      <c r="AZ41">
        <f t="shared" si="6"/>
        <v>0.64573903817948997</v>
      </c>
      <c r="BA41">
        <f t="shared" si="7"/>
        <v>-36.994364720786479</v>
      </c>
      <c r="BB41">
        <f t="shared" si="8"/>
        <v>0.64573903817948997</v>
      </c>
      <c r="BC41">
        <f t="shared" si="9"/>
        <v>-36.994364720786479</v>
      </c>
      <c r="BD41">
        <f t="shared" si="10"/>
        <v>0.64573903817948997</v>
      </c>
      <c r="BE41">
        <f t="shared" si="11"/>
        <v>-36.994364720786479</v>
      </c>
      <c r="BF41">
        <f t="shared" si="12"/>
        <v>0.64573903817948997</v>
      </c>
      <c r="BG41">
        <f t="shared" si="13"/>
        <v>-36.994364720786479</v>
      </c>
      <c r="BH41">
        <f t="shared" si="14"/>
        <v>0.64573903817948997</v>
      </c>
      <c r="BI41">
        <f t="shared" si="15"/>
        <v>-36.994364720786479</v>
      </c>
      <c r="BJ41">
        <f t="shared" si="16"/>
        <v>0.64573903817948997</v>
      </c>
      <c r="BK41">
        <f t="shared" si="17"/>
        <v>-36.994364720786479</v>
      </c>
      <c r="BL41">
        <f t="shared" si="18"/>
        <v>0.64573903817948997</v>
      </c>
      <c r="BM41">
        <f t="shared" si="19"/>
        <v>-36.994364720786479</v>
      </c>
      <c r="BN41">
        <f t="shared" si="20"/>
        <v>0.64573903817948997</v>
      </c>
      <c r="BO41">
        <f t="shared" si="21"/>
        <v>-36.994364720786479</v>
      </c>
      <c r="BP41">
        <f t="shared" si="22"/>
        <v>0.64573903817948997</v>
      </c>
    </row>
    <row r="42" spans="1:68" x14ac:dyDescent="0.25">
      <c r="A42" t="s">
        <v>96</v>
      </c>
      <c r="B42">
        <f>0</f>
        <v>0</v>
      </c>
      <c r="C42">
        <v>20</v>
      </c>
      <c r="F42" t="s">
        <v>77</v>
      </c>
      <c r="G42" t="s">
        <v>79</v>
      </c>
      <c r="I42" t="s">
        <v>24</v>
      </c>
      <c r="J42">
        <f>SQRT((J27-J26)^2+(K27-K26)^2)/caera</f>
        <v>9.3762710204788871</v>
      </c>
      <c r="K42">
        <f>ATAN((K26-K25)/(J26-J25))</f>
        <v>0.59411565968953117</v>
      </c>
      <c r="L42">
        <f>SQRT((L27-L26)^2+(M27-M26)^2)/caera</f>
        <v>11.69595404970697</v>
      </c>
      <c r="M42">
        <f>ATAN((M26-M25)/(L26-L25))</f>
        <v>0.43606782191683036</v>
      </c>
      <c r="N42">
        <f>SQRT((N27-N26)^2+(O27-O26)^2)/caera</f>
        <v>14.350738363219373</v>
      </c>
      <c r="O42">
        <f>ATAN((O26-O25)/(N26-N25))</f>
        <v>0.32992973693899458</v>
      </c>
      <c r="P42">
        <f>SQRT((P27-P26)^2+(Q27-Q26)^2)/caera</f>
        <v>17.584138478871324</v>
      </c>
      <c r="Q42">
        <f>ATAN((Q26-Q25)/(P26-P25))</f>
        <v>0.25103329037626826</v>
      </c>
      <c r="R42">
        <f>SQRT((R27-R26)^2+(S27-S26)^2)/caera</f>
        <v>21.768400953263924</v>
      </c>
      <c r="S42">
        <f>ATAN((S26-S25)/(R26-R25))</f>
        <v>0.18942140542711014</v>
      </c>
      <c r="T42">
        <f>SQRT((T27-T26)^2+(U27-U26)^2)/caera</f>
        <v>27.630226107549962</v>
      </c>
      <c r="U42">
        <f>ATAN((U26-U25)/(T26-T25))</f>
        <v>0.13965960986492601</v>
      </c>
      <c r="V42">
        <f>SQRT((V27-V26)^2+(W27-W26)^2)/caera</f>
        <v>36.86985367445741</v>
      </c>
      <c r="W42">
        <f>ATAN((W26-W25)/(V26-V25))</f>
        <v>9.8216122428442174E-2</v>
      </c>
      <c r="X42">
        <f>SQRT((X27-X26)^2+(Y27-Y26)^2)/caera</f>
        <v>54.614010169887521</v>
      </c>
      <c r="Y42">
        <f>ATAN((Y26-Y25)/(X26-X25))</f>
        <v>6.249055310842723E-2</v>
      </c>
      <c r="Z42">
        <f>SQRT((Z27-Z26)^2+(AA27-AA26)^2)/caera</f>
        <v>106.56461705157027</v>
      </c>
      <c r="AA42">
        <f>ATAN((AA26-AA25)/(Z26-Z25))</f>
        <v>3.0371109730161432E-2</v>
      </c>
      <c r="AB42">
        <f>SQRT((AB27-AB26)^2+(AC27-AC26)^2)/caera</f>
        <v>0</v>
      </c>
      <c r="AC42">
        <f>ATAN((AC26-AC25)/(AB26-AB25))</f>
        <v>0</v>
      </c>
      <c r="AS42">
        <f t="shared" si="4"/>
        <v>32</v>
      </c>
      <c r="AT42">
        <f t="shared" si="1"/>
        <v>-6.8</v>
      </c>
      <c r="AU42">
        <f t="shared" si="2"/>
        <v>7.3321211119293448</v>
      </c>
      <c r="AV42">
        <f t="shared" si="3"/>
        <v>-7.3321211119293448</v>
      </c>
      <c r="AX42">
        <f>AX40+1</f>
        <v>7</v>
      </c>
      <c r="AY42">
        <f t="shared" si="5"/>
        <v>-36.994364720786479</v>
      </c>
      <c r="AZ42">
        <f t="shared" si="6"/>
        <v>0.64573903817948997</v>
      </c>
      <c r="BA42">
        <f t="shared" si="7"/>
        <v>-36.994364720786479</v>
      </c>
      <c r="BB42">
        <f t="shared" si="8"/>
        <v>0.64573903817948997</v>
      </c>
      <c r="BC42">
        <f t="shared" si="9"/>
        <v>-36.994364720786479</v>
      </c>
      <c r="BD42">
        <f t="shared" si="10"/>
        <v>0.64573903817948997</v>
      </c>
      <c r="BE42">
        <f t="shared" si="11"/>
        <v>-36.994364720786479</v>
      </c>
      <c r="BF42">
        <f t="shared" si="12"/>
        <v>0.64573903817948997</v>
      </c>
      <c r="BG42">
        <f t="shared" si="13"/>
        <v>-36.994364720786479</v>
      </c>
      <c r="BH42">
        <f t="shared" si="14"/>
        <v>0.64573903817948997</v>
      </c>
      <c r="BI42">
        <f t="shared" si="15"/>
        <v>-36.994364720786479</v>
      </c>
      <c r="BJ42">
        <f t="shared" si="16"/>
        <v>0.64573903817948997</v>
      </c>
      <c r="BK42">
        <f t="shared" si="17"/>
        <v>-36.994364720786479</v>
      </c>
      <c r="BL42">
        <f t="shared" si="18"/>
        <v>0.64573903817948997</v>
      </c>
      <c r="BM42">
        <f t="shared" si="19"/>
        <v>-36.994364720786479</v>
      </c>
      <c r="BN42">
        <f t="shared" si="20"/>
        <v>0.64573903817948997</v>
      </c>
      <c r="BO42">
        <f t="shared" si="21"/>
        <v>-36.994364720786479</v>
      </c>
      <c r="BP42">
        <f t="shared" si="22"/>
        <v>0.64573903817948997</v>
      </c>
    </row>
    <row r="43" spans="1:68" x14ac:dyDescent="0.25">
      <c r="B43">
        <f>B42</f>
        <v>0</v>
      </c>
      <c r="C43">
        <v>-20</v>
      </c>
      <c r="I43" t="s">
        <v>25</v>
      </c>
      <c r="J43">
        <f>cmeso*COS(K41)</f>
        <v>0.55242923695399093</v>
      </c>
      <c r="K43">
        <f>cmeso*SIN(K41)</f>
        <v>-0.3731841135456811</v>
      </c>
      <c r="L43">
        <f>cmeso*COS(M41)</f>
        <v>0.60427968939729393</v>
      </c>
      <c r="M43">
        <f>cmeso*SIN(M41)</f>
        <v>-0.28158569108950532</v>
      </c>
      <c r="N43">
        <f>cmeso*COS(O41)</f>
        <v>0.63071007296545567</v>
      </c>
      <c r="O43">
        <f>cmeso*SIN(O41)</f>
        <v>-0.21598437050942823</v>
      </c>
      <c r="P43">
        <f>cmeso*COS(Q41)</f>
        <v>0.64577084291831</v>
      </c>
      <c r="Q43">
        <f>cmeso*SIN(Q41)</f>
        <v>-0.16560332992129062</v>
      </c>
      <c r="R43">
        <f>cmeso*COS(S41)</f>
        <v>0.65474222897949974</v>
      </c>
      <c r="S43">
        <f>cmeso*SIN(S41)</f>
        <v>-0.12552712071660324</v>
      </c>
      <c r="T43">
        <f>cmeso*COS(U41)</f>
        <v>0.66017562529696983</v>
      </c>
      <c r="U43">
        <f>cmeso*SIN(U41)</f>
        <v>-9.2804031206619841E-2</v>
      </c>
      <c r="V43">
        <f>cmeso*COS(W41)</f>
        <v>0.66345378174411018</v>
      </c>
      <c r="W43">
        <f>cmeso*SIN(W41)</f>
        <v>-6.5372195418870099E-2</v>
      </c>
      <c r="X43">
        <f>cmeso*COS(Y41)</f>
        <v>0.66536540046797843</v>
      </c>
      <c r="Y43">
        <f>cmeso*SIN(Y41)</f>
        <v>-4.1633259595316816E-2</v>
      </c>
      <c r="Z43">
        <f>cmeso*COS(AA41)</f>
        <v>0.66635922219801791</v>
      </c>
      <c r="AA43">
        <f>cmeso*SIN(AA41)</f>
        <v>-2.0244293914507987E-2</v>
      </c>
      <c r="AB43">
        <f>cmeso*COS(AC41)</f>
        <v>0.66666666666666663</v>
      </c>
      <c r="AC43">
        <f>cmeso*SIN(AC41)</f>
        <v>0</v>
      </c>
      <c r="AS43">
        <f t="shared" si="4"/>
        <v>33</v>
      </c>
      <c r="AT43">
        <f t="shared" si="1"/>
        <v>-6.6999999999999993</v>
      </c>
      <c r="AU43">
        <f t="shared" si="2"/>
        <v>7.4236109811869859</v>
      </c>
      <c r="AV43">
        <f t="shared" si="3"/>
        <v>-7.4236109811869859</v>
      </c>
      <c r="AX43">
        <f>AX42</f>
        <v>7</v>
      </c>
      <c r="AY43">
        <f t="shared" si="5"/>
        <v>-36.994364720786479</v>
      </c>
      <c r="AZ43">
        <f t="shared" si="6"/>
        <v>0.64573903817948997</v>
      </c>
      <c r="BA43">
        <f t="shared" si="7"/>
        <v>-36.994364720786479</v>
      </c>
      <c r="BB43">
        <f t="shared" si="8"/>
        <v>0.64573903817948997</v>
      </c>
      <c r="BC43">
        <f t="shared" si="9"/>
        <v>-36.994364720786479</v>
      </c>
      <c r="BD43">
        <f t="shared" si="10"/>
        <v>0.64573903817948997</v>
      </c>
      <c r="BE43">
        <f t="shared" si="11"/>
        <v>-36.994364720786479</v>
      </c>
      <c r="BF43">
        <f t="shared" si="12"/>
        <v>0.64573903817948997</v>
      </c>
      <c r="BG43">
        <f t="shared" si="13"/>
        <v>-36.994364720786479</v>
      </c>
      <c r="BH43">
        <f t="shared" si="14"/>
        <v>0.64573903817948997</v>
      </c>
      <c r="BI43">
        <f t="shared" si="15"/>
        <v>-36.994364720786479</v>
      </c>
      <c r="BJ43">
        <f t="shared" si="16"/>
        <v>0.64573903817948997</v>
      </c>
      <c r="BK43">
        <f t="shared" si="17"/>
        <v>-36.994364720786479</v>
      </c>
      <c r="BL43">
        <f t="shared" si="18"/>
        <v>0.64573903817948997</v>
      </c>
      <c r="BM43">
        <f t="shared" si="19"/>
        <v>-36.994364720786479</v>
      </c>
      <c r="BN43">
        <f t="shared" si="20"/>
        <v>0.64573903817948997</v>
      </c>
      <c r="BO43">
        <f t="shared" si="21"/>
        <v>-36.994364720786479</v>
      </c>
      <c r="BP43">
        <f t="shared" si="22"/>
        <v>0.64573903817948997</v>
      </c>
    </row>
    <row r="44" spans="1:68" x14ac:dyDescent="0.25">
      <c r="A44" t="s">
        <v>97</v>
      </c>
      <c r="B44">
        <v>0</v>
      </c>
      <c r="C44">
        <v>20</v>
      </c>
      <c r="I44" t="s">
        <v>26</v>
      </c>
      <c r="J44">
        <f>cmeso*COS(K42)</f>
        <v>0.55242923695399093</v>
      </c>
      <c r="K44">
        <f>cmeso*SIN(K42)</f>
        <v>0.3731841135456811</v>
      </c>
      <c r="L44">
        <f>cmeso*COS(M42)</f>
        <v>0.60427968939729393</v>
      </c>
      <c r="M44">
        <f>cmeso*SIN(M42)</f>
        <v>0.28158569108950532</v>
      </c>
      <c r="N44">
        <f>cmeso*COS(O42)</f>
        <v>0.63071007296545567</v>
      </c>
      <c r="O44">
        <f>cmeso*SIN(O42)</f>
        <v>0.21598437050942823</v>
      </c>
      <c r="P44">
        <f>cmeso*COS(Q42)</f>
        <v>0.64577084291831</v>
      </c>
      <c r="Q44">
        <f>cmeso*SIN(Q42)</f>
        <v>0.16560332992129062</v>
      </c>
      <c r="R44">
        <f>cmeso*COS(S42)</f>
        <v>0.65474222897949974</v>
      </c>
      <c r="S44">
        <f>cmeso*SIN(S42)</f>
        <v>0.12552712071660324</v>
      </c>
      <c r="T44">
        <f>cmeso*COS(U42)</f>
        <v>0.66017562529696983</v>
      </c>
      <c r="U44">
        <f>cmeso*SIN(U42)</f>
        <v>9.2804031206619841E-2</v>
      </c>
      <c r="V44">
        <f>cmeso*COS(W42)</f>
        <v>0.66345378174411018</v>
      </c>
      <c r="W44">
        <f>cmeso*SIN(W42)</f>
        <v>6.5372195418870099E-2</v>
      </c>
      <c r="X44">
        <f>cmeso*COS(Y42)</f>
        <v>0.66536540046797843</v>
      </c>
      <c r="Y44">
        <f>cmeso*SIN(Y42)</f>
        <v>4.1633259595316816E-2</v>
      </c>
      <c r="Z44">
        <f>cmeso*COS(AA42)</f>
        <v>0.66635922219801791</v>
      </c>
      <c r="AA44">
        <f>cmeso*SIN(AA42)</f>
        <v>2.0244293914507987E-2</v>
      </c>
      <c r="AB44">
        <f>cmeso*COS(AC42)</f>
        <v>0.66666666666666663</v>
      </c>
      <c r="AC44">
        <f>cmeso*SIN(AC42)</f>
        <v>0</v>
      </c>
      <c r="AS44">
        <f t="shared" si="4"/>
        <v>34</v>
      </c>
      <c r="AT44">
        <f t="shared" si="1"/>
        <v>-6.6</v>
      </c>
      <c r="AU44">
        <f t="shared" si="2"/>
        <v>7.5126559883971797</v>
      </c>
      <c r="AV44">
        <f t="shared" si="3"/>
        <v>-7.5126559883971797</v>
      </c>
      <c r="AX44">
        <f>AX42+1</f>
        <v>8</v>
      </c>
      <c r="AY44">
        <f t="shared" si="5"/>
        <v>-36.994364720786479</v>
      </c>
      <c r="AZ44">
        <f t="shared" si="6"/>
        <v>0.64573903817948997</v>
      </c>
      <c r="BA44">
        <f t="shared" si="7"/>
        <v>-36.994364720786479</v>
      </c>
      <c r="BB44">
        <f t="shared" si="8"/>
        <v>0.64573903817948997</v>
      </c>
      <c r="BC44">
        <f t="shared" si="9"/>
        <v>-36.994364720786479</v>
      </c>
      <c r="BD44">
        <f t="shared" si="10"/>
        <v>0.64573903817948997</v>
      </c>
      <c r="BE44">
        <f t="shared" si="11"/>
        <v>-36.994364720786479</v>
      </c>
      <c r="BF44">
        <f t="shared" si="12"/>
        <v>0.64573903817948997</v>
      </c>
      <c r="BG44">
        <f t="shared" si="13"/>
        <v>-36.994364720786479</v>
      </c>
      <c r="BH44">
        <f t="shared" si="14"/>
        <v>0.64573903817948997</v>
      </c>
      <c r="BI44">
        <f t="shared" si="15"/>
        <v>-36.994364720786479</v>
      </c>
      <c r="BJ44">
        <f t="shared" si="16"/>
        <v>0.64573903817948997</v>
      </c>
      <c r="BK44">
        <f t="shared" si="17"/>
        <v>-36.994364720786479</v>
      </c>
      <c r="BL44">
        <f t="shared" si="18"/>
        <v>0.64573903817948997</v>
      </c>
      <c r="BM44">
        <f t="shared" si="19"/>
        <v>-36.994364720786479</v>
      </c>
      <c r="BN44">
        <f t="shared" si="20"/>
        <v>0.64573903817948997</v>
      </c>
      <c r="BO44">
        <f t="shared" si="21"/>
        <v>-36.994364720786479</v>
      </c>
      <c r="BP44">
        <f t="shared" si="22"/>
        <v>0.64573903817948997</v>
      </c>
    </row>
    <row r="45" spans="1:68" x14ac:dyDescent="0.25">
      <c r="B45">
        <f>B44</f>
        <v>0</v>
      </c>
      <c r="C45">
        <v>-20</v>
      </c>
      <c r="I45" t="s">
        <v>27</v>
      </c>
      <c r="J45">
        <f>ATAN((K10-K9)/(J10-J9))</f>
        <v>-1.4572723548003232</v>
      </c>
      <c r="L45">
        <f>ATAN((M10-M9)/(L10-L9))</f>
        <v>-1.1246899196117204</v>
      </c>
      <c r="N45">
        <f>ATAN((O10-O9)/(N10-N9))</f>
        <v>-0.89013929405420633</v>
      </c>
      <c r="P45">
        <f>ATAN((Q10-Q9)/(P10-P9))</f>
        <v>-0.70608456034508493</v>
      </c>
      <c r="R45">
        <f>ATAN((S10-S9)/(R10-R9))</f>
        <v>-0.55347628436284479</v>
      </c>
      <c r="T45">
        <f>ATAN((U10-U9)/(T10-T9))</f>
        <v>-0.42204683196484771</v>
      </c>
      <c r="V45">
        <f>ATAN((W10-W9)/(V10-V9))</f>
        <v>-0.30524810763319132</v>
      </c>
      <c r="X45">
        <f>ATAN((Y10-Y9)/(X10-X9))</f>
        <v>-0.19837294471109934</v>
      </c>
      <c r="Z45">
        <f>ATAN((AA10-AA9)/(Z10-Z9))</f>
        <v>-9.7693797156396756E-2</v>
      </c>
      <c r="AB45">
        <v>0</v>
      </c>
      <c r="AS45">
        <f t="shared" si="4"/>
        <v>35</v>
      </c>
      <c r="AT45">
        <f t="shared" si="1"/>
        <v>-6.5</v>
      </c>
      <c r="AU45">
        <f t="shared" si="2"/>
        <v>7.5993420767853319</v>
      </c>
      <c r="AV45">
        <f t="shared" si="3"/>
        <v>-7.5993420767853319</v>
      </c>
      <c r="AX45">
        <f>AX44</f>
        <v>8</v>
      </c>
      <c r="AY45">
        <f t="shared" si="5"/>
        <v>-36.994364720786479</v>
      </c>
      <c r="AZ45">
        <f t="shared" si="6"/>
        <v>0.64573903817948997</v>
      </c>
      <c r="BA45">
        <f t="shared" si="7"/>
        <v>-36.994364720786479</v>
      </c>
      <c r="BB45">
        <f t="shared" si="8"/>
        <v>0.64573903817948997</v>
      </c>
      <c r="BC45">
        <f t="shared" si="9"/>
        <v>-36.994364720786479</v>
      </c>
      <c r="BD45">
        <f t="shared" si="10"/>
        <v>0.64573903817948997</v>
      </c>
      <c r="BE45">
        <f t="shared" si="11"/>
        <v>-36.994364720786479</v>
      </c>
      <c r="BF45">
        <f t="shared" si="12"/>
        <v>0.64573903817948997</v>
      </c>
      <c r="BG45">
        <f t="shared" si="13"/>
        <v>-36.994364720786479</v>
      </c>
      <c r="BH45">
        <f t="shared" si="14"/>
        <v>0.64573903817948997</v>
      </c>
      <c r="BI45">
        <f t="shared" si="15"/>
        <v>-36.994364720786479</v>
      </c>
      <c r="BJ45">
        <f t="shared" si="16"/>
        <v>0.64573903817948997</v>
      </c>
      <c r="BK45">
        <f t="shared" si="17"/>
        <v>-36.994364720786479</v>
      </c>
      <c r="BL45">
        <f t="shared" si="18"/>
        <v>0.64573903817948997</v>
      </c>
      <c r="BM45">
        <f t="shared" si="19"/>
        <v>-36.994364720786479</v>
      </c>
      <c r="BN45">
        <f t="shared" si="20"/>
        <v>0.64573903817948997</v>
      </c>
      <c r="BO45">
        <f t="shared" si="21"/>
        <v>-36.994364720786479</v>
      </c>
      <c r="BP45">
        <f t="shared" si="22"/>
        <v>0.64573903817948997</v>
      </c>
    </row>
    <row r="46" spans="1:68" x14ac:dyDescent="0.25">
      <c r="A46" t="s">
        <v>98</v>
      </c>
      <c r="J46">
        <f>ATAN((K27-K26)/(J27-J26))</f>
        <v>1.4572723548003232</v>
      </c>
      <c r="L46">
        <f>ATAN((M27-M26)/(L27-L26))</f>
        <v>1.1246899196117206</v>
      </c>
      <c r="N46">
        <f>ATAN((O27-O26)/(N27-N26))</f>
        <v>0.89013929405420633</v>
      </c>
      <c r="P46">
        <f>ATAN((Q27-Q26)/(P27-P26))</f>
        <v>0.70608456034508493</v>
      </c>
      <c r="R46">
        <f>ATAN((S27-S26)/(R27-R26))</f>
        <v>0.55347628436284479</v>
      </c>
      <c r="T46">
        <f>ATAN((U27-U26)/(T27-T26))</f>
        <v>0.42204683196484771</v>
      </c>
      <c r="V46">
        <f>ATAN((W27-W26)/(V27-V26))</f>
        <v>0.30524810763319132</v>
      </c>
      <c r="X46">
        <f>ATAN((Y27-Y26)/(X27-X26))</f>
        <v>0.19837294471109934</v>
      </c>
      <c r="Z46">
        <f>ATAN((AA27-AA26)/(Z27-Z26))</f>
        <v>9.7693797156396756E-2</v>
      </c>
      <c r="AB46">
        <f>0</f>
        <v>0</v>
      </c>
      <c r="AS46">
        <f t="shared" si="4"/>
        <v>36</v>
      </c>
      <c r="AT46">
        <f t="shared" si="1"/>
        <v>-6.4</v>
      </c>
      <c r="AU46">
        <f t="shared" si="2"/>
        <v>7.6837490849194179</v>
      </c>
      <c r="AV46">
        <f t="shared" si="3"/>
        <v>-7.6837490849194179</v>
      </c>
      <c r="AX46">
        <f>AX44+1</f>
        <v>9</v>
      </c>
      <c r="AY46">
        <f t="shared" si="5"/>
        <v>-36.994364720786479</v>
      </c>
      <c r="AZ46">
        <f t="shared" si="6"/>
        <v>0.64573903817948997</v>
      </c>
      <c r="BA46">
        <f t="shared" si="7"/>
        <v>-36.994364720786479</v>
      </c>
      <c r="BB46">
        <f t="shared" si="8"/>
        <v>0.64573903817948997</v>
      </c>
      <c r="BC46">
        <f t="shared" si="9"/>
        <v>-36.994364720786479</v>
      </c>
      <c r="BD46">
        <f t="shared" si="10"/>
        <v>0.64573903817948997</v>
      </c>
      <c r="BE46">
        <f t="shared" si="11"/>
        <v>-36.994364720786479</v>
      </c>
      <c r="BF46">
        <f t="shared" si="12"/>
        <v>0.64573903817948997</v>
      </c>
      <c r="BG46">
        <f t="shared" si="13"/>
        <v>-36.994364720786479</v>
      </c>
      <c r="BH46">
        <f t="shared" si="14"/>
        <v>0.64573903817948997</v>
      </c>
      <c r="BI46">
        <f t="shared" si="15"/>
        <v>-36.994364720786479</v>
      </c>
      <c r="BJ46">
        <f t="shared" si="16"/>
        <v>0.64573903817948997</v>
      </c>
      <c r="BK46">
        <f t="shared" si="17"/>
        <v>-36.994364720786479</v>
      </c>
      <c r="BL46">
        <f t="shared" si="18"/>
        <v>0.64573903817948997</v>
      </c>
      <c r="BM46">
        <f t="shared" si="19"/>
        <v>-36.994364720786479</v>
      </c>
      <c r="BN46">
        <f t="shared" si="20"/>
        <v>0.64573903817948997</v>
      </c>
      <c r="BO46">
        <f t="shared" si="21"/>
        <v>-36.994364720786479</v>
      </c>
      <c r="BP46">
        <f t="shared" si="22"/>
        <v>0.64573903817948997</v>
      </c>
    </row>
    <row r="47" spans="1:68" x14ac:dyDescent="0.25">
      <c r="A47">
        <f>x_pigis2</f>
        <v>-36.994364720786479</v>
      </c>
      <c r="B47">
        <f>y_pigis2</f>
        <v>0.64573903817948997</v>
      </c>
      <c r="C47">
        <f>y_pigis2/(B42-B38)</f>
        <v>-3.162803452307706E-2</v>
      </c>
      <c r="D47" t="s">
        <v>99</v>
      </c>
      <c r="E47" t="s">
        <v>101</v>
      </c>
      <c r="F47">
        <f>ATAN(C47)</f>
        <v>-3.1617494664043198E-2</v>
      </c>
      <c r="I47" t="s">
        <v>28</v>
      </c>
      <c r="J47">
        <f>caera*COS(J$45)</f>
        <v>0.11328028540708007</v>
      </c>
      <c r="K47">
        <f>caera*SIN(J45)</f>
        <v>-0.99356307144443046</v>
      </c>
      <c r="L47">
        <f>caera*COS(L$45)</f>
        <v>0.43145627155131522</v>
      </c>
      <c r="M47">
        <f>caera*SIN(L45)</f>
        <v>-0.90213385134304636</v>
      </c>
      <c r="N47">
        <f>caera*COS(N$45)</f>
        <v>0.62930377899373635</v>
      </c>
      <c r="O47">
        <f>caera*SIN(N45)</f>
        <v>-0.77715941334079119</v>
      </c>
      <c r="P47">
        <f>caera*COS(P$45)</f>
        <v>0.76090827217525958</v>
      </c>
      <c r="Q47">
        <f>caera*SIN(P45)</f>
        <v>-0.64885946192936184</v>
      </c>
      <c r="R47">
        <f>caera*COS(R$45)</f>
        <v>0.85070236509485209</v>
      </c>
      <c r="S47">
        <f>caera*SIN(R45)</f>
        <v>-0.52564768240906856</v>
      </c>
      <c r="T47">
        <f>caera*COS(T$45)</f>
        <v>0.91225241106373989</v>
      </c>
      <c r="U47">
        <f>caera*SIN(T45)</f>
        <v>-0.40962853722414583</v>
      </c>
      <c r="V47">
        <f>caera*COS(V$45)</f>
        <v>0.95377241818135883</v>
      </c>
      <c r="W47">
        <f>caera*SIN(V45)</f>
        <v>-0.30052982267402872</v>
      </c>
      <c r="X47">
        <f>caera*COS(X$45)</f>
        <v>0.98038852641482477</v>
      </c>
      <c r="Y47">
        <f>caera*SIN(X45)</f>
        <v>-0.19707444602019908</v>
      </c>
      <c r="Z47">
        <f>caera*COS(Z$45)</f>
        <v>0.9952317551840425</v>
      </c>
      <c r="AA47">
        <f>caera*SIN(Z45)</f>
        <v>-9.7538471760070203E-2</v>
      </c>
      <c r="AB47">
        <f>caera*COS(AB$45)</f>
        <v>1</v>
      </c>
      <c r="AC47">
        <f>caera*SIN(AB45)</f>
        <v>0</v>
      </c>
      <c r="AS47">
        <f t="shared" si="4"/>
        <v>37</v>
      </c>
      <c r="AT47">
        <f t="shared" si="1"/>
        <v>-6.3</v>
      </c>
      <c r="AU47">
        <f t="shared" si="2"/>
        <v>7.7659513261415691</v>
      </c>
      <c r="AV47">
        <f t="shared" si="3"/>
        <v>-7.7659513261415691</v>
      </c>
      <c r="AX47">
        <f>AX46</f>
        <v>9</v>
      </c>
      <c r="AY47">
        <f t="shared" si="5"/>
        <v>-36.994364720786479</v>
      </c>
      <c r="AZ47">
        <f t="shared" si="6"/>
        <v>0.64573903817948997</v>
      </c>
      <c r="BA47">
        <f t="shared" si="7"/>
        <v>-36.994364720786479</v>
      </c>
      <c r="BB47">
        <f t="shared" si="8"/>
        <v>0.64573903817948997</v>
      </c>
      <c r="BC47">
        <f t="shared" si="9"/>
        <v>-36.994364720786479</v>
      </c>
      <c r="BD47">
        <f t="shared" si="10"/>
        <v>0.64573903817948997</v>
      </c>
      <c r="BE47">
        <f t="shared" si="11"/>
        <v>-36.994364720786479</v>
      </c>
      <c r="BF47">
        <f t="shared" si="12"/>
        <v>0.64573903817948997</v>
      </c>
      <c r="BG47">
        <f t="shared" si="13"/>
        <v>-36.994364720786479</v>
      </c>
      <c r="BH47">
        <f t="shared" si="14"/>
        <v>0.64573903817948997</v>
      </c>
      <c r="BI47">
        <f t="shared" si="15"/>
        <v>-36.994364720786479</v>
      </c>
      <c r="BJ47">
        <f t="shared" si="16"/>
        <v>0.64573903817948997</v>
      </c>
      <c r="BK47">
        <f t="shared" si="17"/>
        <v>-36.994364720786479</v>
      </c>
      <c r="BL47">
        <f t="shared" si="18"/>
        <v>0.64573903817948997</v>
      </c>
      <c r="BM47">
        <f t="shared" si="19"/>
        <v>-36.994364720786479</v>
      </c>
      <c r="BN47">
        <f t="shared" si="20"/>
        <v>0.64573903817948997</v>
      </c>
      <c r="BO47">
        <f t="shared" si="21"/>
        <v>-36.994364720786479</v>
      </c>
      <c r="BP47">
        <f t="shared" si="22"/>
        <v>0.64573903817948997</v>
      </c>
    </row>
    <row r="48" spans="1:68" x14ac:dyDescent="0.25">
      <c r="A48">
        <f>B42</f>
        <v>0</v>
      </c>
      <c r="B48">
        <f>B47</f>
        <v>0.64573903817948997</v>
      </c>
      <c r="J48">
        <f>caera*COS(J$45)</f>
        <v>0.11328028540708007</v>
      </c>
      <c r="K48">
        <f>caera*SIN(J46)</f>
        <v>0.99356307144443046</v>
      </c>
      <c r="L48">
        <f>caera*COS(L$45)</f>
        <v>0.43145627155131522</v>
      </c>
      <c r="M48">
        <f>caera*SIN(L46)</f>
        <v>0.90213385134304647</v>
      </c>
      <c r="N48">
        <f>caera*COS(N$45)</f>
        <v>0.62930377899373635</v>
      </c>
      <c r="O48">
        <f>caera*SIN(N46)</f>
        <v>0.77715941334079119</v>
      </c>
      <c r="P48">
        <f>caera*COS(P$45)</f>
        <v>0.76090827217525958</v>
      </c>
      <c r="Q48">
        <f>caera*SIN(P46)</f>
        <v>0.64885946192936184</v>
      </c>
      <c r="R48">
        <f>caera*COS(R$45)</f>
        <v>0.85070236509485209</v>
      </c>
      <c r="S48">
        <f>caera*SIN(R46)</f>
        <v>0.52564768240906856</v>
      </c>
      <c r="T48">
        <f>caera*COS(T$45)</f>
        <v>0.91225241106373989</v>
      </c>
      <c r="U48">
        <f>caera*SIN(T46)</f>
        <v>0.40962853722414583</v>
      </c>
      <c r="V48">
        <f>caera*COS(V$45)</f>
        <v>0.95377241818135883</v>
      </c>
      <c r="W48">
        <f>caera*SIN(V46)</f>
        <v>0.30052982267402872</v>
      </c>
      <c r="X48">
        <f>caera*COS(X$45)</f>
        <v>0.98038852641482477</v>
      </c>
      <c r="Y48">
        <f>caera*SIN(X46)</f>
        <v>0.19707444602019908</v>
      </c>
      <c r="Z48">
        <f>caera*COS(Z$45)</f>
        <v>0.9952317551840425</v>
      </c>
      <c r="AA48">
        <f>caera*SIN(Z46)</f>
        <v>9.7538471760070203E-2</v>
      </c>
      <c r="AB48">
        <f>caera*COS(AB$45)</f>
        <v>1</v>
      </c>
      <c r="AC48">
        <f>caera*SIN(AB46)</f>
        <v>0</v>
      </c>
      <c r="AS48">
        <f t="shared" si="4"/>
        <v>38</v>
      </c>
      <c r="AT48">
        <f t="shared" si="1"/>
        <v>-6.1999999999999993</v>
      </c>
      <c r="AU48">
        <f t="shared" si="2"/>
        <v>7.8460180983732126</v>
      </c>
      <c r="AV48">
        <f t="shared" si="3"/>
        <v>-7.8460180983732126</v>
      </c>
      <c r="AX48">
        <f>AX46+1</f>
        <v>10</v>
      </c>
      <c r="AY48">
        <f t="shared" si="5"/>
        <v>-36.994364720786479</v>
      </c>
      <c r="AZ48">
        <f t="shared" si="6"/>
        <v>0.64573903817948997</v>
      </c>
      <c r="BA48">
        <f t="shared" si="7"/>
        <v>-36.994364720786479</v>
      </c>
      <c r="BB48">
        <f t="shared" si="8"/>
        <v>0.64573903817948997</v>
      </c>
      <c r="BC48">
        <f t="shared" si="9"/>
        <v>-36.994364720786479</v>
      </c>
      <c r="BD48">
        <f t="shared" si="10"/>
        <v>0.64573903817948997</v>
      </c>
      <c r="BE48">
        <f t="shared" si="11"/>
        <v>-36.994364720786479</v>
      </c>
      <c r="BF48">
        <f t="shared" si="12"/>
        <v>0.64573903817948997</v>
      </c>
      <c r="BG48">
        <f t="shared" si="13"/>
        <v>-36.994364720786479</v>
      </c>
      <c r="BH48">
        <f t="shared" si="14"/>
        <v>0.64573903817948997</v>
      </c>
      <c r="BI48">
        <f t="shared" si="15"/>
        <v>-36.994364720786479</v>
      </c>
      <c r="BJ48">
        <f t="shared" si="16"/>
        <v>0.64573903817948997</v>
      </c>
      <c r="BK48">
        <f t="shared" si="17"/>
        <v>-36.994364720786479</v>
      </c>
      <c r="BL48">
        <f t="shared" si="18"/>
        <v>0.64573903817948997</v>
      </c>
      <c r="BM48">
        <f t="shared" si="19"/>
        <v>-36.994364720786479</v>
      </c>
      <c r="BN48">
        <f t="shared" si="20"/>
        <v>0.64573903817948997</v>
      </c>
      <c r="BO48">
        <f t="shared" si="21"/>
        <v>-36.994364720786479</v>
      </c>
      <c r="BP48">
        <f t="shared" si="22"/>
        <v>0.64573903817948997</v>
      </c>
    </row>
    <row r="49" spans="1:68" x14ac:dyDescent="0.25">
      <c r="A49">
        <v>60</v>
      </c>
      <c r="B49">
        <f>B48+C47*(A49-A48)</f>
        <v>-1.2519430332051336</v>
      </c>
      <c r="H49" t="s">
        <v>68</v>
      </c>
      <c r="I49">
        <v>5</v>
      </c>
      <c r="AS49">
        <f t="shared" si="4"/>
        <v>39</v>
      </c>
      <c r="AT49">
        <f t="shared" si="1"/>
        <v>-6.1</v>
      </c>
      <c r="AU49">
        <f t="shared" si="2"/>
        <v>7.9240141342630128</v>
      </c>
      <c r="AV49">
        <f t="shared" si="3"/>
        <v>-7.9240141342630128</v>
      </c>
      <c r="AX49">
        <f>AX48</f>
        <v>10</v>
      </c>
      <c r="AY49">
        <f t="shared" si="5"/>
        <v>-36.994364720786479</v>
      </c>
      <c r="AZ49">
        <f t="shared" si="6"/>
        <v>0.64573903817948997</v>
      </c>
      <c r="BA49">
        <f t="shared" si="7"/>
        <v>-36.994364720786479</v>
      </c>
      <c r="BB49">
        <f t="shared" si="8"/>
        <v>0.64573903817948997</v>
      </c>
      <c r="BC49">
        <f t="shared" si="9"/>
        <v>-36.994364720786479</v>
      </c>
      <c r="BD49">
        <f t="shared" si="10"/>
        <v>0.64573903817948997</v>
      </c>
      <c r="BE49">
        <f t="shared" si="11"/>
        <v>-36.994364720786479</v>
      </c>
      <c r="BF49">
        <f t="shared" si="12"/>
        <v>0.64573903817948997</v>
      </c>
      <c r="BG49">
        <f t="shared" si="13"/>
        <v>-36.994364720786479</v>
      </c>
      <c r="BH49">
        <f t="shared" si="14"/>
        <v>0.64573903817948997</v>
      </c>
      <c r="BI49">
        <f t="shared" si="15"/>
        <v>-36.994364720786479</v>
      </c>
      <c r="BJ49">
        <f t="shared" si="16"/>
        <v>0.64573903817948997</v>
      </c>
      <c r="BK49">
        <f t="shared" si="17"/>
        <v>-36.994364720786479</v>
      </c>
      <c r="BL49">
        <f t="shared" si="18"/>
        <v>0.64573903817948997</v>
      </c>
      <c r="BM49">
        <f t="shared" si="19"/>
        <v>-36.994364720786479</v>
      </c>
      <c r="BN49">
        <f t="shared" si="20"/>
        <v>0.64573903817948997</v>
      </c>
      <c r="BO49">
        <f t="shared" si="21"/>
        <v>-36.994364720786479</v>
      </c>
      <c r="BP49">
        <f t="shared" si="22"/>
        <v>0.64573903817948997</v>
      </c>
    </row>
    <row r="50" spans="1:68" x14ac:dyDescent="0.25">
      <c r="A50">
        <f>IF(x_pigis2&lt;-f_point,60,-60)</f>
        <v>60</v>
      </c>
      <c r="B50">
        <f>B49</f>
        <v>-1.2519430332051336</v>
      </c>
      <c r="I50">
        <f>0</f>
        <v>0</v>
      </c>
      <c r="J50">
        <f>IF((tt-dkyma*$I50)&gt;0,IF(((tt-dkyma*$I50))&lt;J$39,XARXI2+caera1*COS(J$21)*((tt-dkyma*$I50)),IF(AND(((tt-dkyma*$I50))&gt;JIF$39,((tt-dkyma*$I50))&lt;J$39+K$39),J$8+J$43*(((tt-dkyma*$I50))-J$39),J$9+J$47*(((tt-dkyma*$I50))-J$39-K$39))),XARXI2)</f>
        <v>-16.755448977253849</v>
      </c>
      <c r="K50">
        <f>IF((tt-dkyma*$I50)&gt;0,IF((tt-dkyma*$I50)&lt;J$39,yarxi+caera1*SIN(J$21)*(tt-dkyma*$I50),IF(AND((tt-dkyma*$I50)&gt;J$39,(tt-dkyma*$I50)&lt;J$39+K$39),K$8+K$43*((tt-dkyma*$I50)-J$39),K$9+K$47*((tt-dkyma*$I50)-(J$39+K$39)))),yarxi)</f>
        <v>5.5819489327140737</v>
      </c>
      <c r="L50">
        <f>IF((tt-dkyma*$I50)&gt;0,IF(((tt-dkyma*$I50))&lt;L$39,XARXI2+caera1*COS(L$21)*((tt-dkyma*$I50)),IF(AND(((tt-dkyma*$I50))&gt;JIH$39,((tt-dkyma*$I50))&lt;L$39+M$39),L$8+L$43*(((tt-dkyma*$I50))-L$39),L$9+L$47*(((tt-dkyma*$I50))-L$39-M$39))),XARXI2)</f>
        <v>-16.66617620210349</v>
      </c>
      <c r="M50">
        <f>IF((tt-dkyma*$I50)&gt;0,IF((tt-dkyma*$I50)&lt;L$39,yarxi+caera1*SIN(L$21)*(tt-dkyma*$I50),IF(AND((tt-dkyma*$I50)&gt;L$39,(tt-dkyma*$I50)&lt;L$39+M$39),M$8+M$43*((tt-dkyma*$I50)-L$39),M$9+M$47*((tt-dkyma*$I50)-(L$39+M$39)))),yarxi)</f>
        <v>5.2474383994571641</v>
      </c>
      <c r="N50">
        <f>IF((tt-dkyma*$I50)&gt;0,IF(((tt-dkyma*$I50))&lt;N$39,XARXI2+caera1*COS(N$21)*((tt-dkyma*$I50)),IF(AND(((tt-dkyma*$I50))&gt;JIJ$39,((tt-dkyma*$I50))&lt;N$39+O$39),N$8+N$43*(((tt-dkyma*$I50))-N$39),N$9+N$47*(((tt-dkyma*$I50))-N$39-O$39))),XARXI2)</f>
        <v>-16.554346152289622</v>
      </c>
      <c r="O50">
        <f>IF((tt-dkyma*$I50)&gt;0,IF((tt-dkyma*$I50)&lt;N$39,yarxi+caera1*SIN(N$21)*(tt-dkyma*$I50),IF(AND((tt-dkyma*$I50)&gt;N$39,(tt-dkyma*$I50)&lt;N$39+O$39),O$8+O$43*((tt-dkyma*$I50)-N$39),O$9+O$47*((tt-dkyma*$I50)-(N$39+O$39)))),yarxi)</f>
        <v>4.7932492882809452</v>
      </c>
      <c r="P50">
        <f>IF((tt-dkyma*$I50)&gt;0,IF(((tt-dkyma*$I50))&lt;P$39,XARXI2+caera1*COS(P$21)*((tt-dkyma*$I50)),IF(AND(((tt-dkyma*$I50))&gt;JIL$39,((tt-dkyma*$I50))&lt;P$39+Q$39),P$8+P$43*(((tt-dkyma*$I50))-P$39),P$9+P$47*(((tt-dkyma*$I50))-P$39-Q$39))),XARXI2)</f>
        <v>-16.435531190350844</v>
      </c>
      <c r="Q50">
        <f>IF((tt-dkyma*$I50)&gt;0,IF((tt-dkyma*$I50)&lt;P$39,yarxi+caera1*SIN(P$21)*(tt-dkyma*$I50),IF(AND((tt-dkyma*$I50)&gt;P$39,(tt-dkyma*$I50)&lt;P$39+Q$39),Q$8+Q$43*((tt-dkyma*$I50)-P$39),Q$9+Q$47*((tt-dkyma*$I50)-(P$39+Q$39)))),yarxi)</f>
        <v>4.2547176847549979</v>
      </c>
      <c r="R50">
        <f>IF((tt-dkyma*$I50)&gt;0,IF(((tt-dkyma*$I50))&lt;R$39,XARXI2+caera1*COS(R$21)*((tt-dkyma*$I50)),IF(AND(((tt-dkyma*$I50))&gt;JIN$39,((tt-dkyma*$I50))&lt;R$39+S$39),R$8+R$43*(((tt-dkyma*$I50))-R$39),R$9+R$47*(((tt-dkyma*$I50))-R$39-S$39))),XARXI2)</f>
        <v>-16.319403951928724</v>
      </c>
      <c r="S50">
        <f>IF((tt-dkyma*$I50)&gt;0,IF((tt-dkyma*$I50)&lt;R$39,yarxi+caera1*SIN(R$21)*(tt-dkyma*$I50),IF(AND((tt-dkyma*$I50)&gt;R$39,(tt-dkyma*$I50)&lt;R$39+S$39),S$8+S$43*((tt-dkyma*$I50)-R$39),S$9+S$47*((tt-dkyma*$I50)-(R$39+S$39)))),yarxi)</f>
        <v>3.6486911484118054</v>
      </c>
      <c r="T50">
        <f>IF((tt-dkyma*$I50)&gt;0,IF(((tt-dkyma*$I50))&lt;T$39,XARXI2+caera1*COS(T$21)*((tt-dkyma*$I50)),IF(AND(((tt-dkyma*$I50))&gt;JIP$39,((tt-dkyma*$I50))&lt;T$39+U$39),T$8+T$43*(((tt-dkyma*$I50))-T$39),T$9+T$47*(((tt-dkyma*$I50))-T$39-U$39))),XARXI2)</f>
        <v>-16.213534433525012</v>
      </c>
      <c r="U50">
        <f>IF((tt-dkyma*$I50)&gt;0,IF((tt-dkyma*$I50)&lt;T$39,yarxi+caera1*SIN(T$21)*(tt-dkyma*$I50),IF(AND((tt-dkyma*$I50)&gt;T$39,(tt-dkyma*$I50)&lt;T$39+U$39),U$8+U$43*((tt-dkyma*$I50)-T$39),U$9+U$47*((tt-dkyma*$I50)-(T$39+U$39)))),yarxi)</f>
        <v>2.9871138668871717</v>
      </c>
      <c r="V50">
        <f>IF((tt-dkyma*$I50)&gt;0,IF(((tt-dkyma*$I50))&lt;V$39,XARXI2+caera1*COS(V$21)*((tt-dkyma*$I50)),IF(AND(((tt-dkyma*$I50))&gt;JIR$39,((tt-dkyma*$I50))&lt;V$39+W$39),V$8+V$43*(((tt-dkyma*$I50))-V$39),V$9+V$47*(((tt-dkyma*$I50))-V$39-W$39))),XARXI2)</f>
        <v>-16.124206733442097</v>
      </c>
      <c r="W50">
        <f>IF((tt-dkyma*$I50)&gt;0,IF((tt-dkyma*$I50)&lt;V$39,yarxi+caera1*SIN(V$21)*(tt-dkyma*$I50),IF(AND((tt-dkyma*$I50)&gt;V$39,(tt-dkyma*$I50)&lt;V$39+W$39),W$8+W$43*((tt-dkyma*$I50)-V$39),W$9+W$47*((tt-dkyma*$I50)-(V$39+W$39)))),yarxi)</f>
        <v>2.2806261184016372</v>
      </c>
      <c r="X50">
        <f>IF((tt-dkyma*$I50)&gt;0,IF(((tt-dkyma*$I50))&lt;X$39,XARXI2+caera1*COS(X$21)*((tt-dkyma*$I50)),IF(AND(((tt-dkyma*$I50))&gt;JIT$39,((tt-dkyma*$I50))&lt;X$39+Y$39),X$8+X$43*(((tt-dkyma*$I50))-X$39),X$9+X$47*(((tt-dkyma*$I50))-X$39-Y$39))),XARXI2)</f>
        <v>-16.05653141882874</v>
      </c>
      <c r="Y50">
        <f>IF((tt-dkyma*$I50)&gt;0,IF((tt-dkyma*$I50)&lt;X$39,yarxi+caera1*SIN(X$21)*(tt-dkyma*$I50),IF(AND((tt-dkyma*$I50)&gt;X$39,(tt-dkyma*$I50)&lt;X$39+Y$39),Y$8+Y$43*((tt-dkyma*$I50)-X$39),Y$9+Y$47*((tt-dkyma*$I50)-(X$39+Y$39)))),yarxi)</f>
        <v>1.5398453784365427</v>
      </c>
      <c r="Z50">
        <f>IF((tt-dkyma*$I50)&gt;0,IF(((tt-dkyma*$I50))&lt;Z$39,XARXI2+caera1*COS(Z$21)*((tt-dkyma*$I50)),IF(AND(((tt-dkyma*$I50))&gt;JIV$39,((tt-dkyma*$I50))&lt;Z$39+AA$39),Z$8+Z$43*(((tt-dkyma*$I50))-Z$39),Z$9+Z$47*(((tt-dkyma*$I50))-Z$39-AA$39))),XARXI2)</f>
        <v>-16.014335269240512</v>
      </c>
      <c r="AA50">
        <f>IF((tt-dkyma*$I50)&gt;0,IF((tt-dkyma*$I50)&lt;Z$39,yarxi+caera1*SIN(Z$21)*(tt-dkyma*$I50),IF(AND((tt-dkyma*$I50)&gt;Z$39,(tt-dkyma*$I50)&lt;Z$39+AA$39),AA$8+AA$43*((tt-dkyma*$I50)-Z$39),AA$9+AA$47*((tt-dkyma*$I50)-(Z$39+AA$39)))),yarxi)</f>
        <v>0.7758065533090337</v>
      </c>
      <c r="AB50">
        <f>IF((tt-dkyma*$I50)&gt;0,IF(((tt-dkyma*$I50))&lt;AB$39,XARXI2+caera1*COS(AB$21)*((tt-dkyma*$I50)),IF(AND(((tt-dkyma*$I50))&gt;AB$39,((tt-dkyma*$I50))&lt;AB$39+AC$39),AB$8+AB$43*(((tt-dkyma*$I50))-AB$39),AB$9+AB$47*(((tt-dkyma*$I50))-AB$39-AC$39))),XARXI2)</f>
        <v>-16</v>
      </c>
      <c r="AC50">
        <f>IF((tt-dkyma*$I50)&gt;0,IF((tt-dkyma*$I50)&lt;AB$39,yarxi+caera1*SIN(AB$21)*(tt-dkyma*$I50),IF(AND((tt-dkyma*$I50)&gt;AB$39,(tt-dkyma*$I50)&lt;AB$39+AC$39),AC$8+AC$43*((tt-dkyma*$I50)-AB$39),AC$9+AC$47*((tt-dkyma*$I50)-(AB$39+AC$39)))),yarxi)</f>
        <v>0</v>
      </c>
      <c r="AS50">
        <f t="shared" si="4"/>
        <v>40</v>
      </c>
      <c r="AT50">
        <f t="shared" si="1"/>
        <v>-6</v>
      </c>
      <c r="AU50">
        <f t="shared" si="2"/>
        <v>8</v>
      </c>
      <c r="AV50">
        <f t="shared" si="3"/>
        <v>-8</v>
      </c>
    </row>
    <row r="51" spans="1:68" x14ac:dyDescent="0.25">
      <c r="I51">
        <f>I50</f>
        <v>0</v>
      </c>
      <c r="J51">
        <f>IF((tt-dkyma*$I50)&gt;0,IF((tt-dkyma*$I50)&lt;J$40,XARXI2+caera1*COS(J$38)*(tt-dkyma*$I50),IF(AND((tt-dkyma*$I50)&gt;J$40,(tt-dkyma*$I50)&lt;J$40+K$40),J$25+J$44*((tt-dkyma*$I50)-J$40),J$26+J$48*((tt-dkyma*$I50)-J$40-K$40))),XARXI2)</f>
        <v>-16.755448977253849</v>
      </c>
      <c r="K51">
        <f>IF((tt-dkyma*$I50)&gt;0,IF((tt-dkyma*$I50)&lt;J$40,yarxi+caera1*SIN(J$38)*(tt-dkyma*$I50),IF(AND((tt-dkyma*$I50)&gt;J$40,(tt-dkyma*$I50)&lt;J$40+K$40),K$25+K$44*((tt-dkyma*$I50)-J$40),K$26+K$48*((tt-dkyma*$I50)-(J$40+K$40)))),yarxi)</f>
        <v>-5.5819489327140737</v>
      </c>
      <c r="L51">
        <f>IF((tt-dkyma*$I50)&gt;0,IF((tt-dkyma*$I50)&lt;L$40,XARXI2+caera1*COS(L$38)*(tt-dkyma*$I50),IF(AND((tt-dkyma*$I50)&gt;L$40,(tt-dkyma*$I50)&lt;L$40+M$40),L$25+L$44*((tt-dkyma*$I50)-L$40),L$26+L$48*((tt-dkyma*$I50)-L$40-M$40))),XARXI2)</f>
        <v>-16.66617620210349</v>
      </c>
      <c r="M51">
        <f>IF((tt-dkyma*$I50)&gt;0,IF((tt-dkyma*$I50)&lt;L$40,yarxi+caera1*SIN(L$38)*(tt-dkyma*$I50),IF(AND((tt-dkyma*$I50)&gt;L$40,(tt-dkyma*$I50)&lt;L$40+M$40),M$25+M$44*((tt-dkyma*$I50)-L$40),M$26+M$48*((tt-dkyma*$I50)-(L$40+M$40)))),yarxi)</f>
        <v>-5.2474383994571641</v>
      </c>
      <c r="N51">
        <f>IF((tt-dkyma*$I50)&gt;0,IF((tt-dkyma*$I50)&lt;N$40,XARXI2+caera1*COS(N$38)*(tt-dkyma*$I50),IF(AND((tt-dkyma*$I50)&gt;N$40,(tt-dkyma*$I50)&lt;N$40+O$40),N$25+N$44*((tt-dkyma*$I50)-N$40),N$26+N$48*((tt-dkyma*$I50)-N$40-O$40))),XARXI2)</f>
        <v>-16.554346152289622</v>
      </c>
      <c r="O51">
        <f>IF((tt-dkyma*$I50)&gt;0,IF((tt-dkyma*$I50)&lt;N$40,yarxi+caera1*SIN(N$38)*(tt-dkyma*$I50),IF(AND((tt-dkyma*$I50)&gt;N$40,(tt-dkyma*$I50)&lt;N$40+O$40),O$25+O$44*((tt-dkyma*$I50)-N$40),O$26+O$48*((tt-dkyma*$I50)-(N$40+O$40)))),yarxi)</f>
        <v>-4.7932492882809452</v>
      </c>
      <c r="P51">
        <f>IF((tt-dkyma*$I50)&gt;0,IF((tt-dkyma*$I50)&lt;P$40,XARXI2+caera1*COS(P$38)*(tt-dkyma*$I50),IF(AND((tt-dkyma*$I50)&gt;P$40,(tt-dkyma*$I50)&lt;P$40+Q$40),P$25+P$44*((tt-dkyma*$I50)-P$40),P$26+P$48*((tt-dkyma*$I50)-P$40-Q$40))),XARXI2)</f>
        <v>-16.435531190350844</v>
      </c>
      <c r="Q51">
        <f>IF((tt-dkyma*$I50)&gt;0,IF((tt-dkyma*$I50)&lt;P$40,yarxi+caera1*SIN(P$38)*(tt-dkyma*$I50),IF(AND((tt-dkyma*$I50)&gt;P$40,(tt-dkyma*$I50)&lt;P$40+Q$40),Q$25+Q$44*((tt-dkyma*$I50)-P$40),Q$26+Q$48*((tt-dkyma*$I50)-(P$40+Q$40)))),yarxi)</f>
        <v>-4.2547176847549979</v>
      </c>
      <c r="R51">
        <f>IF((tt-dkyma*$I50)&gt;0,IF((tt-dkyma*$I50)&lt;R$40,XARXI2+caera1*COS(R$38)*(tt-dkyma*$I50),IF(AND((tt-dkyma*$I50)&gt;R$40,(tt-dkyma*$I50)&lt;R$40+S$40),R$25+R$44*((tt-dkyma*$I50)-R$40),R$26+R$48*((tt-dkyma*$I50)-R$40-S$40))),XARXI2)</f>
        <v>-16.319403951928724</v>
      </c>
      <c r="S51">
        <f>IF((tt-dkyma*$I50)&gt;0,IF((tt-dkyma*$I50)&lt;R$40,yarxi+caera1*SIN(R$38)*(tt-dkyma*$I50),IF(AND((tt-dkyma*$I50)&gt;R$40,(tt-dkyma*$I50)&lt;R$40+S$40),S$25+S$44*((tt-dkyma*$I50)-R$40),S$26+S$48*((tt-dkyma*$I50)-(R$40+S$40)))),yarxi)</f>
        <v>-3.6486911484118054</v>
      </c>
      <c r="T51">
        <f>IF((tt-dkyma*$I50)&gt;0,IF((tt-dkyma*$I50)&lt;T$40,XARXI2+caera1*COS(T$38)*(tt-dkyma*$I50),IF(AND((tt-dkyma*$I50)&gt;T$40,(tt-dkyma*$I50)&lt;T$40+U$40),T$25+T$44*((tt-dkyma*$I50)-T$40),T$26+T$48*((tt-dkyma*$I50)-T$40-U$40))),XARXI2)</f>
        <v>-16.213534433525012</v>
      </c>
      <c r="U51">
        <f>IF((tt-dkyma*$I50)&gt;0,IF((tt-dkyma*$I50)&lt;T$40,yarxi+caera1*SIN(T$38)*(tt-dkyma*$I50),IF(AND((tt-dkyma*$I50)&gt;T$40,(tt-dkyma*$I50)&lt;T$40+U$40),U$25+U$44*((tt-dkyma*$I50)-T$40),U$26+U$48*((tt-dkyma*$I50)-(T$40+U$40)))),yarxi)</f>
        <v>-2.9871138668871717</v>
      </c>
      <c r="V51">
        <f>IF((tt-dkyma*$I50)&gt;0,IF((tt-dkyma*$I50)&lt;V$40,XARXI2+caera1*COS(V$38)*(tt-dkyma*$I50),IF(AND((tt-dkyma*$I50)&gt;V$40,(tt-dkyma*$I50)&lt;V$40+W$40),V$25+V$44*((tt-dkyma*$I50)-V$40),V$26+V$48*((tt-dkyma*$I50)-V$40-W$40))),XARXI2)</f>
        <v>-16.124206733442097</v>
      </c>
      <c r="W51">
        <f>IF((tt-dkyma*$I50)&gt;0,IF((tt-dkyma*$I50)&lt;V$40,yarxi+caera1*SIN(V$38)*(tt-dkyma*$I50),IF(AND((tt-dkyma*$I50)&gt;V$40,(tt-dkyma*$I50)&lt;V$40+W$40),W$25+W$44*((tt-dkyma*$I50)-V$40),W$26+W$48*((tt-dkyma*$I50)-(V$40+W$40)))),yarxi)</f>
        <v>-2.2806261184016372</v>
      </c>
      <c r="X51">
        <f>IF((tt-dkyma*$I50)&gt;0,IF((tt-dkyma*$I50)&lt;X$40,XARXI2+caera1*COS(X$38)*(tt-dkyma*$I50),IF(AND((tt-dkyma*$I50)&gt;X$40,(tt-dkyma*$I50)&lt;X$40+Y$40),X$25+X$44*((tt-dkyma*$I50)-X$40),X$26+X$48*((tt-dkyma*$I50)-X$40-Y$40))),XARXI2)</f>
        <v>-16.05653141882874</v>
      </c>
      <c r="Y51">
        <f>IF((tt-dkyma*$I50)&gt;0,IF((tt-dkyma*$I50)&lt;X$40,yarxi+caera1*SIN(X$38)*(tt-dkyma*$I50),IF(AND((tt-dkyma*$I50)&gt;X$40,(tt-dkyma*$I50)&lt;X$40+Y$40),Y$25+Y$44*((tt-dkyma*$I50)-X$40),Y$26+Y$48*((tt-dkyma*$I50)-(X$40+Y$40)))),yarxi)</f>
        <v>-1.5398453784365427</v>
      </c>
      <c r="Z51">
        <f>IF((tt-dkyma*$I50)&gt;0,IF((tt-dkyma*$I50)&lt;Z$40,XARXI2+caera1*COS(Z$38)*(tt-dkyma*$I50),IF(AND((tt-dkyma*$I50)&gt;Z$40,(tt-dkyma*$I50)&lt;Z$40+AA$40),Z$25+Z$44*((tt-dkyma*$I50)-Z$40),Z$26+Z$48*((tt-dkyma*$I50)-Z$40-AA$40))),XARXI2)</f>
        <v>-16.014335269240512</v>
      </c>
      <c r="AA51">
        <f>IF((tt-dkyma*$I50)&gt;0,IF((tt-dkyma*$I50)&lt;Z$40,yarxi+caera1*SIN(Z$38)*(tt-dkyma*$I50),IF(AND((tt-dkyma*$I50)&gt;Z$40,(tt-dkyma*$I50)&lt;Z$40+AA$40),AA$25+AA$44*((tt-dkyma*$I50)-Z$40),AA$26+AA$48*((tt-dkyma*$I50)-(Z$40+AA$40)))),yarxi)</f>
        <v>-0.7758065533090337</v>
      </c>
      <c r="AS51">
        <f t="shared" si="4"/>
        <v>41</v>
      </c>
      <c r="AT51">
        <f t="shared" si="1"/>
        <v>-5.8999999999999995</v>
      </c>
      <c r="AU51">
        <f t="shared" si="2"/>
        <v>8.0740324497737799</v>
      </c>
      <c r="AV51">
        <f t="shared" si="3"/>
        <v>-8.0740324497737799</v>
      </c>
    </row>
    <row r="52" spans="1:68" x14ac:dyDescent="0.25">
      <c r="A52">
        <f>A47</f>
        <v>-36.994364720786479</v>
      </c>
      <c r="B52">
        <f>B47</f>
        <v>0.64573903817948997</v>
      </c>
      <c r="C52">
        <f>IF(x_pigis2&lt;&gt;B40,y_pigis/(x_pigis2-B40),"point in f")</f>
        <v>-3.8958207601299033E-2</v>
      </c>
      <c r="D52" t="s">
        <v>100</v>
      </c>
      <c r="E52" t="s">
        <v>102</v>
      </c>
      <c r="I52">
        <f>I50+1</f>
        <v>1</v>
      </c>
      <c r="J52">
        <f>IF((tt-dkyma*$I52)&gt;0,IF(((tt-dkyma*$I52))&lt;J$39,XARXI2+caera1*COS(J$21)*((tt-dkyma*$I52)),IF(AND(((tt-dkyma*$I52))&gt;JIF$39,((tt-dkyma*$I52))&lt;J$39+K$39),J$8+J$43*(((tt-dkyma*$I52))-J$39),J$9+J$47*(((tt-dkyma*$I52))-J$39-K$39))),XARXI2)</f>
        <v>-21.575580173145788</v>
      </c>
      <c r="K52">
        <f>IF((tt-dkyma*$I52)&gt;0,IF((tt-dkyma*$I52)&lt;J$39,yarxi+caera1*SIN(J$21)*(tt-dkyma*$I52),IF(AND((tt-dkyma*$I52)&gt;J$39,(tt-dkyma*$I52)&lt;J$39+K$39),K$8+K$43*((tt-dkyma*$I52)-J$39),K$9+K$47*((tt-dkyma*$I52)-(J$39+K$39)))),yarxi)</f>
        <v>4.2529134725440558</v>
      </c>
      <c r="L52">
        <f>IF((tt-dkyma*$I52)&gt;0,IF(((tt-dkyma*$I52))&lt;L$39,XARXI2+caera1*COS(L$21)*((tt-dkyma*$I52)),IF(AND(((tt-dkyma*$I52))&gt;JIH$39,((tt-dkyma*$I52))&lt;L$39+M$39),L$8+L$43*(((tt-dkyma*$I52))-L$39),L$9+L$47*(((tt-dkyma*$I52))-L$39-M$39))),XARXI2)</f>
        <v>-21.507562820650278</v>
      </c>
      <c r="M52">
        <f>IF((tt-dkyma*$I52)&gt;0,IF((tt-dkyma*$I52)&lt;L$39,yarxi+caera1*SIN(L$21)*(tt-dkyma*$I52),IF(AND((tt-dkyma*$I52)&gt;L$39,(tt-dkyma*$I52)&lt;L$39+M$39),M$8+M$43*((tt-dkyma*$I52)-L$39),M$9+M$47*((tt-dkyma*$I52)-(L$39+M$39)))),yarxi)</f>
        <v>3.9980483043483153</v>
      </c>
      <c r="N52">
        <f>IF((tt-dkyma*$I52)&gt;0,IF(((tt-dkyma*$I52))&lt;N$39,XARXI2+caera1*COS(N$21)*((tt-dkyma*$I52)),IF(AND(((tt-dkyma*$I52))&gt;JIJ$39,((tt-dkyma*$I52))&lt;N$39+O$39),N$8+N$43*(((tt-dkyma*$I52))-N$39),N$9+N$47*(((tt-dkyma*$I52))-N$39-O$39))),XARXI2)</f>
        <v>-21.422358973173047</v>
      </c>
      <c r="O52">
        <f>IF((tt-dkyma*$I52)&gt;0,IF((tt-dkyma*$I52)&lt;N$39,yarxi+caera1*SIN(N$21)*(tt-dkyma*$I52),IF(AND((tt-dkyma*$I52)&gt;N$39,(tt-dkyma*$I52)&lt;N$39+O$39),O$8+O$43*((tt-dkyma*$I52)-N$39),O$9+O$47*((tt-dkyma*$I52)-(N$39+O$39)))),yarxi)</f>
        <v>3.6519994577378632</v>
      </c>
      <c r="P52">
        <f>IF((tt-dkyma*$I52)&gt;0,IF(((tt-dkyma*$I52))&lt;P$39,XARXI2+caera1*COS(P$21)*((tt-dkyma*$I52)),IF(AND(((tt-dkyma*$I52))&gt;JIL$39,((tt-dkyma*$I52))&lt;P$39+Q$39),P$8+P$43*(((tt-dkyma*$I52))-P$39),P$9+P$47*(((tt-dkyma*$I52))-P$39-Q$39))),XARXI2)</f>
        <v>-21.331833287886354</v>
      </c>
      <c r="Q52">
        <f>IF((tt-dkyma*$I52)&gt;0,IF((tt-dkyma*$I52)&lt;P$39,yarxi+caera1*SIN(P$21)*(tt-dkyma*$I52),IF(AND((tt-dkyma*$I52)&gt;P$39,(tt-dkyma*$I52)&lt;P$39+Q$39),Q$8+Q$43*((tt-dkyma*$I52)-P$39),Q$9+Q$47*((tt-dkyma*$I52)-(P$39+Q$39)))),yarxi)</f>
        <v>3.2416896645752367</v>
      </c>
      <c r="R52">
        <f>IF((tt-dkyma*$I52)&gt;0,IF(((tt-dkyma*$I52))&lt;R$39,XARXI2+caera1*COS(R$21)*((tt-dkyma*$I52)),IF(AND(((tt-dkyma*$I52))&gt;JIN$39,((tt-dkyma*$I52))&lt;R$39+S$39),R$8+R$43*(((tt-dkyma*$I52))-R$39),R$9+R$47*(((tt-dkyma*$I52))-R$39-S$39))),XARXI2)</f>
        <v>-21.243355391945691</v>
      </c>
      <c r="S52">
        <f>IF((tt-dkyma*$I52)&gt;0,IF((tt-dkyma*$I52)&lt;R$39,yarxi+caera1*SIN(R$21)*(tt-dkyma*$I52),IF(AND((tt-dkyma*$I52)&gt;R$39,(tt-dkyma*$I52)&lt;R$39+S$39),S$8+S$43*((tt-dkyma*$I52)-R$39),S$9+S$47*((tt-dkyma*$I52)-(R$39+S$39)))),yarxi)</f>
        <v>2.7799551606947088</v>
      </c>
      <c r="T52">
        <f>IF((tt-dkyma*$I52)&gt;0,IF(((tt-dkyma*$I52))&lt;T$39,XARXI2+caera1*COS(T$21)*((tt-dkyma*$I52)),IF(AND(((tt-dkyma*$I52))&gt;JIP$39,((tt-dkyma*$I52))&lt;T$39+U$39),T$8+T$43*(((tt-dkyma*$I52))-T$39),T$9+T$47*(((tt-dkyma*$I52))-T$39-U$39))),XARXI2)</f>
        <v>-21.162692901733344</v>
      </c>
      <c r="U52">
        <f>IF((tt-dkyma*$I52)&gt;0,IF((tt-dkyma*$I52)&lt;T$39,yarxi+caera1*SIN(T$21)*(tt-dkyma*$I52),IF(AND((tt-dkyma*$I52)&gt;T$39,(tt-dkyma*$I52)&lt;T$39+U$39),U$8+U$43*((tt-dkyma*$I52)-T$39),U$9+U$47*((tt-dkyma*$I52)-(T$39+U$39)))),yarxi)</f>
        <v>2.2758962795330833</v>
      </c>
      <c r="V52">
        <f>IF((tt-dkyma*$I52)&gt;0,IF(((tt-dkyma*$I52))&lt;V$39,XARXI2+caera1*COS(V$21)*((tt-dkyma*$I52)),IF(AND(((tt-dkyma*$I52))&gt;JIR$39,((tt-dkyma*$I52))&lt;V$39+W$39),V$8+V$43*(((tt-dkyma*$I52))-V$39),V$9+V$47*(((tt-dkyma*$I52))-V$39-W$39))),XARXI2)</f>
        <v>-21.094633701670169</v>
      </c>
      <c r="W52">
        <f>IF((tt-dkyma*$I52)&gt;0,IF((tt-dkyma*$I52)&lt;V$39,yarxi+caera1*SIN(V$21)*(tt-dkyma*$I52),IF(AND((tt-dkyma*$I52)&gt;V$39,(tt-dkyma*$I52)&lt;V$39+W$39),W$8+W$43*((tt-dkyma*$I52)-V$39),W$9+W$47*((tt-dkyma*$I52)-(V$39+W$39)))),yarxi)</f>
        <v>1.7376198997345806</v>
      </c>
      <c r="X52">
        <f>IF((tt-dkyma*$I52)&gt;0,IF(((tt-dkyma*$I52))&lt;X$39,XARXI2+caera1*COS(X$21)*((tt-dkyma*$I52)),IF(AND(((tt-dkyma*$I52))&gt;JIT$39,((tt-dkyma*$I52))&lt;X$39+Y$39),X$8+X$43*(((tt-dkyma*$I52))-X$39),X$9+X$47*(((tt-dkyma*$I52))-X$39-Y$39))),XARXI2)</f>
        <v>-21.04307155720285</v>
      </c>
      <c r="Y52">
        <f>IF((tt-dkyma*$I52)&gt;0,IF((tt-dkyma*$I52)&lt;X$39,yarxi+caera1*SIN(X$21)*(tt-dkyma*$I52),IF(AND((tt-dkyma*$I52)&gt;X$39,(tt-dkyma*$I52)&lt;X$39+Y$39),Y$8+Y$43*((tt-dkyma*$I52)-X$39),Y$9+Y$47*((tt-dkyma*$I52)-(X$39+Y$39)))),yarxi)</f>
        <v>1.1732155264278421</v>
      </c>
      <c r="Z52">
        <f>IF((tt-dkyma*$I52)&gt;0,IF(((tt-dkyma*$I52))&lt;Z$39,XARXI2+caera1*COS(Z$21)*((tt-dkyma*$I52)),IF(AND(((tt-dkyma*$I52))&gt;JIV$39,((tt-dkyma*$I52))&lt;Z$39+AA$39),Z$8+Z$43*(((tt-dkyma*$I52))-Z$39),Z$9+Z$47*(((tt-dkyma*$I52))-Z$39-AA$39))),XARXI2)</f>
        <v>-21.010922109897532</v>
      </c>
      <c r="AA52">
        <f>IF((tt-dkyma*$I52)&gt;0,IF((tt-dkyma*$I52)&lt;Z$39,yarxi+caera1*SIN(Z$21)*(tt-dkyma*$I52),IF(AND((tt-dkyma*$I52)&gt;Z$39,(tt-dkyma*$I52)&lt;Z$39+AA$39),AA$8+AA$43*((tt-dkyma*$I52)-Z$39),AA$9+AA$47*((tt-dkyma*$I52)-(Z$39+AA$39)))),yarxi)</f>
        <v>0.59109070728307334</v>
      </c>
      <c r="AB52">
        <f>IF((tt-dkyma*$I52)&gt;0,IF(((tt-dkyma*$I52))&lt;AB$39,XARXI2+caera1*COS(AB$21)*((tt-dkyma*$I52)),IF(AND(((tt-dkyma*$I52))&gt;AB$39,((tt-dkyma*$I52))&lt;AB$39+AC$39),AB$8+AB$43*(((tt-dkyma*$I52))-AB$39),AB$9+AB$47*(((tt-dkyma*$I52))-AB$39-AC$39))),XARXI2)</f>
        <v>-21</v>
      </c>
      <c r="AC52">
        <f>IF((tt-dkyma*$I52)&gt;0,IF((tt-dkyma*$I52)&lt;AB$39,yarxi+caera1*SIN(AB$21)*(tt-dkyma*$I52),IF(AND((tt-dkyma*$I52)&gt;AB$39,(tt-dkyma*$I52)&lt;AB$39+AC$39),AC$8+AC$43*((tt-dkyma*$I52)-AB$39),AC$9+AC$47*((tt-dkyma*$I52)-(AB$39+AC$39)))),yarxi)</f>
        <v>0</v>
      </c>
      <c r="AS52">
        <f t="shared" si="4"/>
        <v>42</v>
      </c>
      <c r="AT52">
        <f t="shared" si="1"/>
        <v>-5.8</v>
      </c>
      <c r="AU52">
        <f t="shared" si="2"/>
        <v>8.1461647417665208</v>
      </c>
      <c r="AV52">
        <f t="shared" si="3"/>
        <v>-8.1461647417665208</v>
      </c>
    </row>
    <row r="53" spans="1:68" x14ac:dyDescent="0.25">
      <c r="A53">
        <f>B44</f>
        <v>0</v>
      </c>
      <c r="B53">
        <f>B52+C52*(B44-A52)</f>
        <v>-0.7954951026910827</v>
      </c>
      <c r="D53" t="s">
        <v>106</v>
      </c>
      <c r="I53">
        <f>I52</f>
        <v>1</v>
      </c>
      <c r="J53">
        <f>IF((tt-dkyma*$I52)&gt;0,IF((tt-dkyma*$I52)&lt;J$40,XARXI2+caera1*COS(J$38)*(tt-dkyma*$I52),IF(AND((tt-dkyma*$I52)&gt;J$40,(tt-dkyma*$I52)&lt;J$40+K$40),J$25+J$44*((tt-dkyma*$I52)-J$40),J$26+J$48*((tt-dkyma*$I52)-J$40-K$40))),XARXI2)</f>
        <v>-21.575580173145788</v>
      </c>
      <c r="K53">
        <f>IF((tt-dkyma*$I52)&gt;0,IF((tt-dkyma*$I52)&lt;J$40,yarxi+caera1*SIN(J$38)*(tt-dkyma*$I52),IF(AND((tt-dkyma*$I52)&gt;J$40,(tt-dkyma*$I52)&lt;J$40+K$40),K$25+K$44*((tt-dkyma*$I52)-J$40),K$26+K$48*((tt-dkyma*$I52)-(J$40+K$40)))),yarxi)</f>
        <v>-4.2529134725440558</v>
      </c>
      <c r="L53">
        <f>IF((tt-dkyma*$I52)&gt;0,IF((tt-dkyma*$I52)&lt;L$40,XARXI2+caera1*COS(L$38)*(tt-dkyma*$I52),IF(AND((tt-dkyma*$I52)&gt;L$40,(tt-dkyma*$I52)&lt;L$40+M$40),L$25+L$44*((tt-dkyma*$I52)-L$40),L$26+L$48*((tt-dkyma*$I52)-L$40-M$40))),XARXI2)</f>
        <v>-21.507562820650278</v>
      </c>
      <c r="M53">
        <f>IF((tt-dkyma*$I52)&gt;0,IF((tt-dkyma*$I52)&lt;L$40,yarxi+caera1*SIN(L$38)*(tt-dkyma*$I52),IF(AND((tt-dkyma*$I52)&gt;L$40,(tt-dkyma*$I52)&lt;L$40+M$40),M$25+M$44*((tt-dkyma*$I52)-L$40),M$26+M$48*((tt-dkyma*$I52)-(L$40+M$40)))),yarxi)</f>
        <v>-3.9980483043483153</v>
      </c>
      <c r="N53">
        <f>IF((tt-dkyma*$I52)&gt;0,IF((tt-dkyma*$I52)&lt;N$40,XARXI2+caera1*COS(N$38)*(tt-dkyma*$I52),IF(AND((tt-dkyma*$I52)&gt;N$40,(tt-dkyma*$I52)&lt;N$40+O$40),N$25+N$44*((tt-dkyma*$I52)-N$40),N$26+N$48*((tt-dkyma*$I52)-N$40-O$40))),XARXI2)</f>
        <v>-21.422358973173047</v>
      </c>
      <c r="O53">
        <f>IF((tt-dkyma*$I52)&gt;0,IF((tt-dkyma*$I52)&lt;N$40,yarxi+caera1*SIN(N$38)*(tt-dkyma*$I52),IF(AND((tt-dkyma*$I52)&gt;N$40,(tt-dkyma*$I52)&lt;N$40+O$40),O$25+O$44*((tt-dkyma*$I52)-N$40),O$26+O$48*((tt-dkyma*$I52)-(N$40+O$40)))),yarxi)</f>
        <v>-3.6519994577378632</v>
      </c>
      <c r="P53">
        <f>IF((tt-dkyma*$I52)&gt;0,IF((tt-dkyma*$I52)&lt;P$40,XARXI2+caera1*COS(P$38)*(tt-dkyma*$I52),IF(AND((tt-dkyma*$I52)&gt;P$40,(tt-dkyma*$I52)&lt;P$40+Q$40),P$25+P$44*((tt-dkyma*$I52)-P$40),P$26+P$48*((tt-dkyma*$I52)-P$40-Q$40))),XARXI2)</f>
        <v>-21.331833287886354</v>
      </c>
      <c r="Q53">
        <f>IF((tt-dkyma*$I52)&gt;0,IF((tt-dkyma*$I52)&lt;P$40,yarxi+caera1*SIN(P$38)*(tt-dkyma*$I52),IF(AND((tt-dkyma*$I52)&gt;P$40,(tt-dkyma*$I52)&lt;P$40+Q$40),Q$25+Q$44*((tt-dkyma*$I52)-P$40),Q$26+Q$48*((tt-dkyma*$I52)-(P$40+Q$40)))),yarxi)</f>
        <v>-3.2416896645752367</v>
      </c>
      <c r="R53">
        <f>IF((tt-dkyma*$I52)&gt;0,IF((tt-dkyma*$I52)&lt;R$40,XARXI2+caera1*COS(R$38)*(tt-dkyma*$I52),IF(AND((tt-dkyma*$I52)&gt;R$40,(tt-dkyma*$I52)&lt;R$40+S$40),R$25+R$44*((tt-dkyma*$I52)-R$40),R$26+R$48*((tt-dkyma*$I52)-R$40-S$40))),XARXI2)</f>
        <v>-21.243355391945691</v>
      </c>
      <c r="S53">
        <f>IF((tt-dkyma*$I52)&gt;0,IF((tt-dkyma*$I52)&lt;R$40,yarxi+caera1*SIN(R$38)*(tt-dkyma*$I52),IF(AND((tt-dkyma*$I52)&gt;R$40,(tt-dkyma*$I52)&lt;R$40+S$40),S$25+S$44*((tt-dkyma*$I52)-R$40),S$26+S$48*((tt-dkyma*$I52)-(R$40+S$40)))),yarxi)</f>
        <v>-2.7799551606947088</v>
      </c>
      <c r="T53">
        <f>IF((tt-dkyma*$I52)&gt;0,IF((tt-dkyma*$I52)&lt;T$40,XARXI2+caera1*COS(T$38)*(tt-dkyma*$I52),IF(AND((tt-dkyma*$I52)&gt;T$40,(tt-dkyma*$I52)&lt;T$40+U$40),T$25+T$44*((tt-dkyma*$I52)-T$40),T$26+T$48*((tt-dkyma*$I52)-T$40-U$40))),XARXI2)</f>
        <v>-21.162692901733344</v>
      </c>
      <c r="U53">
        <f>IF((tt-dkyma*$I52)&gt;0,IF((tt-dkyma*$I52)&lt;T$40,yarxi+caera1*SIN(T$38)*(tt-dkyma*$I52),IF(AND((tt-dkyma*$I52)&gt;T$40,(tt-dkyma*$I52)&lt;T$40+U$40),U$25+U$44*((tt-dkyma*$I52)-T$40),U$26+U$48*((tt-dkyma*$I52)-(T$40+U$40)))),yarxi)</f>
        <v>-2.2758962795330833</v>
      </c>
      <c r="V53">
        <f>IF((tt-dkyma*$I52)&gt;0,IF((tt-dkyma*$I52)&lt;V$40,XARXI2+caera1*COS(V$38)*(tt-dkyma*$I52),IF(AND((tt-dkyma*$I52)&gt;V$40,(tt-dkyma*$I52)&lt;V$40+W$40),V$25+V$44*((tt-dkyma*$I52)-V$40),V$26+V$48*((tt-dkyma*$I52)-V$40-W$40))),XARXI2)</f>
        <v>-21.094633701670169</v>
      </c>
      <c r="W53">
        <f>IF((tt-dkyma*$I52)&gt;0,IF((tt-dkyma*$I52)&lt;V$40,yarxi+caera1*SIN(V$38)*(tt-dkyma*$I52),IF(AND((tt-dkyma*$I52)&gt;V$40,(tt-dkyma*$I52)&lt;V$40+W$40),W$25+W$44*((tt-dkyma*$I52)-V$40),W$26+W$48*((tt-dkyma*$I52)-(V$40+W$40)))),yarxi)</f>
        <v>-1.7376198997345806</v>
      </c>
      <c r="X53">
        <f>IF((tt-dkyma*$I52)&gt;0,IF((tt-dkyma*$I52)&lt;X$40,XARXI2+caera1*COS(X$38)*(tt-dkyma*$I52),IF(AND((tt-dkyma*$I52)&gt;X$40,(tt-dkyma*$I52)&lt;X$40+Y$40),X$25+X$44*((tt-dkyma*$I52)-X$40),X$26+X$48*((tt-dkyma*$I52)-X$40-Y$40))),XARXI2)</f>
        <v>-21.04307155720285</v>
      </c>
      <c r="Y53">
        <f>IF((tt-dkyma*$I52)&gt;0,IF((tt-dkyma*$I52)&lt;X$40,yarxi+caera1*SIN(X$38)*(tt-dkyma*$I52),IF(AND((tt-dkyma*$I52)&gt;X$40,(tt-dkyma*$I52)&lt;X$40+Y$40),Y$25+Y$44*((tt-dkyma*$I52)-X$40),Y$26+Y$48*((tt-dkyma*$I52)-(X$40+Y$40)))),yarxi)</f>
        <v>-1.1732155264278421</v>
      </c>
      <c r="Z53">
        <f>IF((tt-dkyma*$I52)&gt;0,IF((tt-dkyma*$I52)&lt;Z$40,XARXI2+caera1*COS(Z$38)*(tt-dkyma*$I52),IF(AND((tt-dkyma*$I52)&gt;Z$40,(tt-dkyma*$I52)&lt;Z$40+AA$40),Z$25+Z$44*((tt-dkyma*$I52)-Z$40),Z$26+Z$48*((tt-dkyma*$I52)-Z$40-AA$40))),XARXI2)</f>
        <v>-21.010922109897532</v>
      </c>
      <c r="AA53">
        <f>IF((tt-dkyma*$I52)&gt;0,IF((tt-dkyma*$I52)&lt;Z$40,yarxi+caera1*SIN(Z$38)*(tt-dkyma*$I52),IF(AND((tt-dkyma*$I52)&gt;Z$40,(tt-dkyma*$I52)&lt;Z$40+AA$40),AA$25+AA$44*((tt-dkyma*$I52)-Z$40),AA$26+AA$48*((tt-dkyma*$I52)-(Z$40+AA$40)))),yarxi)</f>
        <v>-0.59109070728307334</v>
      </c>
      <c r="AS53">
        <f t="shared" si="4"/>
        <v>43</v>
      </c>
      <c r="AT53">
        <f t="shared" si="1"/>
        <v>-5.7</v>
      </c>
      <c r="AU53">
        <f t="shared" si="2"/>
        <v>8.2164469206585871</v>
      </c>
      <c r="AV53">
        <f t="shared" si="3"/>
        <v>-8.2164469206585871</v>
      </c>
    </row>
    <row r="54" spans="1:68" x14ac:dyDescent="0.25">
      <c r="A54">
        <v>60</v>
      </c>
      <c r="B54">
        <f>B53</f>
        <v>-0.7954951026910827</v>
      </c>
      <c r="I54">
        <f>I52+1</f>
        <v>2</v>
      </c>
      <c r="J54">
        <f>IF((tt-dkyma*$I54)&gt;0,IF(((tt-dkyma*$I54))&lt;J$39,XARXI2+caera1*COS(J$21)*((tt-dkyma*$I54)),IF(AND(((tt-dkyma*$I54))&gt;JIF$39,((tt-dkyma*$I54))&lt;J$39+K$39),J$8+J$43*(((tt-dkyma*$I54))-J$39),J$9+J$47*(((tt-dkyma*$I54))-J$39-K$39))),XARXI2)</f>
        <v>-26.395711369037731</v>
      </c>
      <c r="K54">
        <f>IF((tt-dkyma*$I54)&gt;0,IF((tt-dkyma*$I54)&lt;J$39,yarxi+caera1*SIN(J$21)*(tt-dkyma*$I54),IF(AND((tt-dkyma*$I54)&gt;J$39,(tt-dkyma*$I54)&lt;J$39+K$39),K$8+K$43*((tt-dkyma*$I54)-J$39),K$9+K$47*((tt-dkyma*$I54)-(J$39+K$39)))),yarxi)</f>
        <v>2.9238780123740384</v>
      </c>
      <c r="L54">
        <f>IF((tt-dkyma*$I54)&gt;0,IF(((tt-dkyma*$I54))&lt;L$39,XARXI2+caera1*COS(L$21)*((tt-dkyma*$I54)),IF(AND(((tt-dkyma*$I54))&gt;JIH$39,((tt-dkyma*$I54))&lt;L$39+M$39),L$8+L$43*(((tt-dkyma*$I54))-L$39),L$9+L$47*(((tt-dkyma*$I54))-L$39-M$39))),XARXI2)</f>
        <v>-26.348949439197067</v>
      </c>
      <c r="M54">
        <f>IF((tt-dkyma*$I54)&gt;0,IF((tt-dkyma*$I54)&lt;L$39,yarxi+caera1*SIN(L$21)*(tt-dkyma*$I54),IF(AND((tt-dkyma*$I54)&gt;L$39,(tt-dkyma*$I54)&lt;L$39+M$39),M$8+M$43*((tt-dkyma*$I54)-L$39),M$9+M$47*((tt-dkyma*$I54)-(L$39+M$39)))),yarxi)</f>
        <v>2.7486582092394669</v>
      </c>
      <c r="N54">
        <f>IF((tt-dkyma*$I54)&gt;0,IF(((tt-dkyma*$I54))&lt;N$39,XARXI2+caera1*COS(N$21)*((tt-dkyma*$I54)),IF(AND(((tt-dkyma*$I54))&gt;JIJ$39,((tt-dkyma*$I54))&lt;N$39+O$39),N$8+N$43*(((tt-dkyma*$I54))-N$39),N$9+N$47*(((tt-dkyma*$I54))-N$39-O$39))),XARXI2)</f>
        <v>-26.290371794056469</v>
      </c>
      <c r="O54">
        <f>IF((tt-dkyma*$I54)&gt;0,IF((tt-dkyma*$I54)&lt;N$39,yarxi+caera1*SIN(N$21)*(tt-dkyma*$I54),IF(AND((tt-dkyma*$I54)&gt;N$39,(tt-dkyma*$I54)&lt;N$39+O$39),O$8+O$43*((tt-dkyma*$I54)-N$39),O$9+O$47*((tt-dkyma*$I54)-(N$39+O$39)))),yarxi)</f>
        <v>2.5107496271947811</v>
      </c>
      <c r="P54">
        <f>IF((tt-dkyma*$I54)&gt;0,IF(((tt-dkyma*$I54))&lt;P$39,XARXI2+caera1*COS(P$21)*((tt-dkyma*$I54)),IF(AND(((tt-dkyma*$I54))&gt;JIL$39,((tt-dkyma*$I54))&lt;P$39+Q$39),P$8+P$43*(((tt-dkyma*$I54))-P$39),P$9+P$47*(((tt-dkyma*$I54))-P$39-Q$39))),XARXI2)</f>
        <v>-26.228135385421872</v>
      </c>
      <c r="Q54">
        <f>IF((tt-dkyma*$I54)&gt;0,IF((tt-dkyma*$I54)&lt;P$39,yarxi+caera1*SIN(P$21)*(tt-dkyma*$I54),IF(AND((tt-dkyma*$I54)&gt;P$39,(tt-dkyma*$I54)&lt;P$39+Q$39),Q$8+Q$43*((tt-dkyma*$I54)-P$39),Q$9+Q$47*((tt-dkyma*$I54)-(P$39+Q$39)))),yarxi)</f>
        <v>2.2286616443954754</v>
      </c>
      <c r="R54">
        <f>IF((tt-dkyma*$I54)&gt;0,IF(((tt-dkyma*$I54))&lt;R$39,XARXI2+caera1*COS(R$21)*((tt-dkyma*$I54)),IF(AND(((tt-dkyma*$I54))&gt;JIN$39,((tt-dkyma*$I54))&lt;R$39+S$39),R$8+R$43*(((tt-dkyma*$I54))-R$39),R$9+R$47*(((tt-dkyma*$I54))-R$39-S$39))),XARXI2)</f>
        <v>-26.167306831962662</v>
      </c>
      <c r="S54">
        <f>IF((tt-dkyma*$I54)&gt;0,IF((tt-dkyma*$I54)&lt;R$39,yarxi+caera1*SIN(R$21)*(tt-dkyma*$I54),IF(AND((tt-dkyma*$I54)&gt;R$39,(tt-dkyma*$I54)&lt;R$39+S$39),S$8+S$43*((tt-dkyma*$I54)-R$39),S$9+S$47*((tt-dkyma*$I54)-(R$39+S$39)))),yarxi)</f>
        <v>1.9112191729776122</v>
      </c>
      <c r="T54">
        <f>IF((tt-dkyma*$I54)&gt;0,IF(((tt-dkyma*$I54))&lt;T$39,XARXI2+caera1*COS(T$21)*((tt-dkyma*$I54)),IF(AND(((tt-dkyma*$I54))&gt;JIP$39,((tt-dkyma*$I54))&lt;T$39+U$39),T$8+T$43*(((tt-dkyma*$I54))-T$39),T$9+T$47*(((tt-dkyma*$I54))-T$39-U$39))),XARXI2)</f>
        <v>-26.111851369941675</v>
      </c>
      <c r="U54">
        <f>IF((tt-dkyma*$I54)&gt;0,IF((tt-dkyma*$I54)&lt;T$39,yarxi+caera1*SIN(T$21)*(tt-dkyma*$I54),IF(AND((tt-dkyma*$I54)&gt;T$39,(tt-dkyma*$I54)&lt;T$39+U$39),U$8+U$43*((tt-dkyma*$I54)-T$39),U$9+U$47*((tt-dkyma*$I54)-(T$39+U$39)))),yarxi)</f>
        <v>1.5646786921789948</v>
      </c>
      <c r="V54">
        <f>IF((tt-dkyma*$I54)&gt;0,IF(((tt-dkyma*$I54))&lt;V$39,XARXI2+caera1*COS(V$21)*((tt-dkyma*$I54)),IF(AND(((tt-dkyma*$I54))&gt;JIR$39,((tt-dkyma*$I54))&lt;V$39+W$39),V$8+V$43*(((tt-dkyma*$I54))-V$39),V$9+V$47*(((tt-dkyma*$I54))-V$39-W$39))),XARXI2)</f>
        <v>-26.065060669898241</v>
      </c>
      <c r="W54">
        <f>IF((tt-dkyma*$I54)&gt;0,IF((tt-dkyma*$I54)&lt;V$39,yarxi+caera1*SIN(V$21)*(tt-dkyma*$I54),IF(AND((tt-dkyma*$I54)&gt;V$39,(tt-dkyma*$I54)&lt;V$39+W$39),W$8+W$43*((tt-dkyma*$I54)-V$39),W$9+W$47*((tt-dkyma*$I54)-(V$39+W$39)))),yarxi)</f>
        <v>1.1946136810675241</v>
      </c>
      <c r="X54">
        <f>IF((tt-dkyma*$I54)&gt;0,IF(((tt-dkyma*$I54))&lt;X$39,XARXI2+caera1*COS(X$21)*((tt-dkyma*$I54)),IF(AND(((tt-dkyma*$I54))&gt;JIT$39,((tt-dkyma*$I54))&lt;X$39+Y$39),X$8+X$43*(((tt-dkyma*$I54))-X$39),X$9+X$47*(((tt-dkyma*$I54))-X$39-Y$39))),XARXI2)</f>
        <v>-26.029611695576961</v>
      </c>
      <c r="Y54">
        <f>IF((tt-dkyma*$I54)&gt;0,IF((tt-dkyma*$I54)&lt;X$39,yarxi+caera1*SIN(X$21)*(tt-dkyma*$I54),IF(AND((tt-dkyma*$I54)&gt;X$39,(tt-dkyma*$I54)&lt;X$39+Y$39),Y$8+Y$43*((tt-dkyma*$I54)-X$39),Y$9+Y$47*((tt-dkyma*$I54)-(X$39+Y$39)))),yarxi)</f>
        <v>0.80658567441914142</v>
      </c>
      <c r="Z54">
        <f>IF((tt-dkyma*$I54)&gt;0,IF(((tt-dkyma*$I54))&lt;Z$39,XARXI2+caera1*COS(Z$21)*((tt-dkyma*$I54)),IF(AND(((tt-dkyma*$I54))&gt;JIV$39,((tt-dkyma*$I54))&lt;Z$39+AA$39),Z$8+Z$43*(((tt-dkyma*$I54))-Z$39),Z$9+Z$47*(((tt-dkyma*$I54))-Z$39-AA$39))),XARXI2)</f>
        <v>-26.007508950554552</v>
      </c>
      <c r="AA54">
        <f>IF((tt-dkyma*$I54)&gt;0,IF((tt-dkyma*$I54)&lt;Z$39,yarxi+caera1*SIN(Z$21)*(tt-dkyma*$I54),IF(AND((tt-dkyma*$I54)&gt;Z$39,(tt-dkyma*$I54)&lt;Z$39+AA$39),AA$8+AA$43*((tt-dkyma*$I54)-Z$39),AA$9+AA$47*((tt-dkyma*$I54)-(Z$39+AA$39)))),yarxi)</f>
        <v>0.40637486125711292</v>
      </c>
      <c r="AB54">
        <f>IF((tt-dkyma*$I54)&gt;0,IF(((tt-dkyma*$I54))&lt;AB$39,XARXI2+caera1*COS(AB$21)*((tt-dkyma*$I54)),IF(AND(((tt-dkyma*$I54))&gt;AB$39,((tt-dkyma*$I54))&lt;AB$39+AC$39),AB$8+AB$43*(((tt-dkyma*$I54))-AB$39),AB$9+AB$47*(((tt-dkyma*$I54))-AB$39-AC$39))),XARXI2)</f>
        <v>-26</v>
      </c>
      <c r="AC54">
        <f>IF((tt-dkyma*$I54)&gt;0,IF((tt-dkyma*$I54)&lt;AB$39,yarxi+caera1*SIN(AB$21)*(tt-dkyma*$I54),IF(AND((tt-dkyma*$I54)&gt;AB$39,(tt-dkyma*$I54)&lt;AB$39+AC$39),AC$8+AC$43*((tt-dkyma*$I54)-AB$39),AC$9+AC$47*((tt-dkyma*$I54)-(AB$39+AC$39)))),yarxi)</f>
        <v>0</v>
      </c>
      <c r="AS54">
        <f t="shared" si="4"/>
        <v>44</v>
      </c>
      <c r="AT54">
        <f t="shared" si="1"/>
        <v>-5.6</v>
      </c>
      <c r="AU54">
        <f t="shared" si="2"/>
        <v>8.2849260708831913</v>
      </c>
      <c r="AV54">
        <f t="shared" si="3"/>
        <v>-8.2849260708831913</v>
      </c>
    </row>
    <row r="55" spans="1:68" x14ac:dyDescent="0.25">
      <c r="I55">
        <f>I54</f>
        <v>2</v>
      </c>
      <c r="J55">
        <f>IF((tt-dkyma*$I54)&gt;0,IF((tt-dkyma*$I54)&lt;J$40,XARXI2+caera1*COS(J$38)*(tt-dkyma*$I54),IF(AND((tt-dkyma*$I54)&gt;J$40,(tt-dkyma*$I54)&lt;J$40+K$40),J$25+J$44*((tt-dkyma*$I54)-J$40),J$26+J$48*((tt-dkyma*$I54)-J$40-K$40))),XARXI2)</f>
        <v>-26.395711369037731</v>
      </c>
      <c r="K55">
        <f>IF((tt-dkyma*$I54)&gt;0,IF((tt-dkyma*$I54)&lt;J$40,yarxi+caera1*SIN(J$38)*(tt-dkyma*$I54),IF(AND((tt-dkyma*$I54)&gt;J$40,(tt-dkyma*$I54)&lt;J$40+K$40),K$25+K$44*((tt-dkyma*$I54)-J$40),K$26+K$48*((tt-dkyma*$I54)-(J$40+K$40)))),yarxi)</f>
        <v>-2.9238780123740384</v>
      </c>
      <c r="L55">
        <f>IF((tt-dkyma*$I54)&gt;0,IF((tt-dkyma*$I54)&lt;L$40,XARXI2+caera1*COS(L$38)*(tt-dkyma*$I54),IF(AND((tt-dkyma*$I54)&gt;L$40,(tt-dkyma*$I54)&lt;L$40+M$40),L$25+L$44*((tt-dkyma*$I54)-L$40),L$26+L$48*((tt-dkyma*$I54)-L$40-M$40))),XARXI2)</f>
        <v>-26.348949439197067</v>
      </c>
      <c r="M55">
        <f>IF((tt-dkyma*$I54)&gt;0,IF((tt-dkyma*$I54)&lt;L$40,yarxi+caera1*SIN(L$38)*(tt-dkyma*$I54),IF(AND((tt-dkyma*$I54)&gt;L$40,(tt-dkyma*$I54)&lt;L$40+M$40),M$25+M$44*((tt-dkyma*$I54)-L$40),M$26+M$48*((tt-dkyma*$I54)-(L$40+M$40)))),yarxi)</f>
        <v>-2.7486582092394669</v>
      </c>
      <c r="N55">
        <f>IF((tt-dkyma*$I54)&gt;0,IF((tt-dkyma*$I54)&lt;N$40,XARXI2+caera1*COS(N$38)*(tt-dkyma*$I54),IF(AND((tt-dkyma*$I54)&gt;N$40,(tt-dkyma*$I54)&lt;N$40+O$40),N$25+N$44*((tt-dkyma*$I54)-N$40),N$26+N$48*((tt-dkyma*$I54)-N$40-O$40))),XARXI2)</f>
        <v>-26.290371794056469</v>
      </c>
      <c r="O55">
        <f>IF((tt-dkyma*$I54)&gt;0,IF((tt-dkyma*$I54)&lt;N$40,yarxi+caera1*SIN(N$38)*(tt-dkyma*$I54),IF(AND((tt-dkyma*$I54)&gt;N$40,(tt-dkyma*$I54)&lt;N$40+O$40),O$25+O$44*((tt-dkyma*$I54)-N$40),O$26+O$48*((tt-dkyma*$I54)-(N$40+O$40)))),yarxi)</f>
        <v>-2.5107496271947811</v>
      </c>
      <c r="P55">
        <f>IF((tt-dkyma*$I54)&gt;0,IF((tt-dkyma*$I54)&lt;P$40,XARXI2+caera1*COS(P$38)*(tt-dkyma*$I54),IF(AND((tt-dkyma*$I54)&gt;P$40,(tt-dkyma*$I54)&lt;P$40+Q$40),P$25+P$44*((tt-dkyma*$I54)-P$40),P$26+P$48*((tt-dkyma*$I54)-P$40-Q$40))),XARXI2)</f>
        <v>-26.228135385421872</v>
      </c>
      <c r="Q55">
        <f>IF((tt-dkyma*$I54)&gt;0,IF((tt-dkyma*$I54)&lt;P$40,yarxi+caera1*SIN(P$38)*(tt-dkyma*$I54),IF(AND((tt-dkyma*$I54)&gt;P$40,(tt-dkyma*$I54)&lt;P$40+Q$40),Q$25+Q$44*((tt-dkyma*$I54)-P$40),Q$26+Q$48*((tt-dkyma*$I54)-(P$40+Q$40)))),yarxi)</f>
        <v>-2.2286616443954754</v>
      </c>
      <c r="R55">
        <f>IF((tt-dkyma*$I54)&gt;0,IF((tt-dkyma*$I54)&lt;R$40,XARXI2+caera1*COS(R$38)*(tt-dkyma*$I54),IF(AND((tt-dkyma*$I54)&gt;R$40,(tt-dkyma*$I54)&lt;R$40+S$40),R$25+R$44*((tt-dkyma*$I54)-R$40),R$26+R$48*((tt-dkyma*$I54)-R$40-S$40))),XARXI2)</f>
        <v>-26.167306831962662</v>
      </c>
      <c r="S55">
        <f>IF((tt-dkyma*$I54)&gt;0,IF((tt-dkyma*$I54)&lt;R$40,yarxi+caera1*SIN(R$38)*(tt-dkyma*$I54),IF(AND((tt-dkyma*$I54)&gt;R$40,(tt-dkyma*$I54)&lt;R$40+S$40),S$25+S$44*((tt-dkyma*$I54)-R$40),S$26+S$48*((tt-dkyma*$I54)-(R$40+S$40)))),yarxi)</f>
        <v>-1.9112191729776122</v>
      </c>
      <c r="T55">
        <f>IF((tt-dkyma*$I54)&gt;0,IF((tt-dkyma*$I54)&lt;T$40,XARXI2+caera1*COS(T$38)*(tt-dkyma*$I54),IF(AND((tt-dkyma*$I54)&gt;T$40,(tt-dkyma*$I54)&lt;T$40+U$40),T$25+T$44*((tt-dkyma*$I54)-T$40),T$26+T$48*((tt-dkyma*$I54)-T$40-U$40))),XARXI2)</f>
        <v>-26.111851369941675</v>
      </c>
      <c r="U55">
        <f>IF((tt-dkyma*$I54)&gt;0,IF((tt-dkyma*$I54)&lt;T$40,yarxi+caera1*SIN(T$38)*(tt-dkyma*$I54),IF(AND((tt-dkyma*$I54)&gt;T$40,(tt-dkyma*$I54)&lt;T$40+U$40),U$25+U$44*((tt-dkyma*$I54)-T$40),U$26+U$48*((tt-dkyma*$I54)-(T$40+U$40)))),yarxi)</f>
        <v>-1.5646786921789948</v>
      </c>
      <c r="V55">
        <f>IF((tt-dkyma*$I54)&gt;0,IF((tt-dkyma*$I54)&lt;V$40,XARXI2+caera1*COS(V$38)*(tt-dkyma*$I54),IF(AND((tt-dkyma*$I54)&gt;V$40,(tt-dkyma*$I54)&lt;V$40+W$40),V$25+V$44*((tt-dkyma*$I54)-V$40),V$26+V$48*((tt-dkyma*$I54)-V$40-W$40))),XARXI2)</f>
        <v>-26.065060669898241</v>
      </c>
      <c r="W55">
        <f>IF((tt-dkyma*$I54)&gt;0,IF((tt-dkyma*$I54)&lt;V$40,yarxi+caera1*SIN(V$38)*(tt-dkyma*$I54),IF(AND((tt-dkyma*$I54)&gt;V$40,(tt-dkyma*$I54)&lt;V$40+W$40),W$25+W$44*((tt-dkyma*$I54)-V$40),W$26+W$48*((tt-dkyma*$I54)-(V$40+W$40)))),yarxi)</f>
        <v>-1.1946136810675241</v>
      </c>
      <c r="X55">
        <f>IF((tt-dkyma*$I54)&gt;0,IF((tt-dkyma*$I54)&lt;X$40,XARXI2+caera1*COS(X$38)*(tt-dkyma*$I54),IF(AND((tt-dkyma*$I54)&gt;X$40,(tt-dkyma*$I54)&lt;X$40+Y$40),X$25+X$44*((tt-dkyma*$I54)-X$40),X$26+X$48*((tt-dkyma*$I54)-X$40-Y$40))),XARXI2)</f>
        <v>-26.029611695576961</v>
      </c>
      <c r="Y55">
        <f>IF((tt-dkyma*$I54)&gt;0,IF((tt-dkyma*$I54)&lt;X$40,yarxi+caera1*SIN(X$38)*(tt-dkyma*$I54),IF(AND((tt-dkyma*$I54)&gt;X$40,(tt-dkyma*$I54)&lt;X$40+Y$40),Y$25+Y$44*((tt-dkyma*$I54)-X$40),Y$26+Y$48*((tt-dkyma*$I54)-(X$40+Y$40)))),yarxi)</f>
        <v>-0.80658567441914142</v>
      </c>
      <c r="Z55">
        <f>IF((tt-dkyma*$I54)&gt;0,IF((tt-dkyma*$I54)&lt;Z$40,XARXI2+caera1*COS(Z$38)*(tt-dkyma*$I54),IF(AND((tt-dkyma*$I54)&gt;Z$40,(tt-dkyma*$I54)&lt;Z$40+AA$40),Z$25+Z$44*((tt-dkyma*$I54)-Z$40),Z$26+Z$48*((tt-dkyma*$I54)-Z$40-AA$40))),XARXI2)</f>
        <v>-26.007508950554552</v>
      </c>
      <c r="AA55">
        <f>IF((tt-dkyma*$I54)&gt;0,IF((tt-dkyma*$I54)&lt;Z$40,yarxi+caera1*SIN(Z$38)*(tt-dkyma*$I54),IF(AND((tt-dkyma*$I54)&gt;Z$40,(tt-dkyma*$I54)&lt;Z$40+AA$40),AA$25+AA$44*((tt-dkyma*$I54)-Z$40),AA$26+AA$48*((tt-dkyma*$I54)-(Z$40+AA$40)))),yarxi)</f>
        <v>-0.40637486125711292</v>
      </c>
      <c r="AS55">
        <f t="shared" si="4"/>
        <v>45</v>
      </c>
      <c r="AT55">
        <f t="shared" si="1"/>
        <v>-5.5</v>
      </c>
      <c r="AU55">
        <f t="shared" si="2"/>
        <v>8.3516465442450336</v>
      </c>
      <c r="AV55">
        <f t="shared" si="3"/>
        <v>-8.3516465442450336</v>
      </c>
    </row>
    <row r="56" spans="1:68" x14ac:dyDescent="0.25">
      <c r="D56">
        <f>XARXI2</f>
        <v>-37</v>
      </c>
      <c r="I56">
        <f>I54+1</f>
        <v>3</v>
      </c>
      <c r="J56">
        <f>IF((tt-dkyma*$I56)&gt;0,IF(((tt-dkyma*$I56))&lt;J$39,XARXI2+caera1*COS(J$21)*((tt-dkyma*$I56)),IF(AND(((tt-dkyma*$I56))&gt;JIF$39,((tt-dkyma*$I56))&lt;J$39+K$39),J$8+J$43*(((tt-dkyma*$I56))-J$39),J$9+J$47*(((tt-dkyma*$I56))-J$39-K$39))),XARXI2)</f>
        <v>-31.215842564929673</v>
      </c>
      <c r="K56">
        <f>IF((tt-dkyma*$I56)&gt;0,IF((tt-dkyma*$I56)&lt;J$39,yarxi+caera1*SIN(J$21)*(tt-dkyma*$I56),IF(AND((tt-dkyma*$I56)&gt;J$39,(tt-dkyma*$I56)&lt;J$39+K$39),K$8+K$43*((tt-dkyma*$I56)-J$39),K$9+K$47*((tt-dkyma*$I56)-(J$39+K$39)))),yarxi)</f>
        <v>1.594842552204021</v>
      </c>
      <c r="L56">
        <f>IF((tt-dkyma*$I56)&gt;0,IF(((tt-dkyma*$I56))&lt;L$39,XARXI2+caera1*COS(L$21)*((tt-dkyma*$I56)),IF(AND(((tt-dkyma*$I56))&gt;JIH$39,((tt-dkyma*$I56))&lt;L$39+M$39),L$8+L$43*(((tt-dkyma*$I56))-L$39),L$9+L$47*(((tt-dkyma*$I56))-L$39-M$39))),XARXI2)</f>
        <v>-31.190336057743856</v>
      </c>
      <c r="M56">
        <f>IF((tt-dkyma*$I56)&gt;0,IF((tt-dkyma*$I56)&lt;L$39,yarxi+caera1*SIN(L$21)*(tt-dkyma*$I56),IF(AND((tt-dkyma*$I56)&gt;L$39,(tt-dkyma*$I56)&lt;L$39+M$39),M$8+M$43*((tt-dkyma*$I56)-L$39),M$9+M$47*((tt-dkyma*$I56)-(L$39+M$39)))),yarxi)</f>
        <v>1.4992681141306181</v>
      </c>
      <c r="N56">
        <f>IF((tt-dkyma*$I56)&gt;0,IF(((tt-dkyma*$I56))&lt;N$39,XARXI2+caera1*COS(N$21)*((tt-dkyma*$I56)),IF(AND(((tt-dkyma*$I56))&gt;JIJ$39,((tt-dkyma*$I56))&lt;N$39+O$39),N$8+N$43*(((tt-dkyma*$I56))-N$39),N$9+N$47*(((tt-dkyma*$I56))-N$39-O$39))),XARXI2)</f>
        <v>-31.158384614939891</v>
      </c>
      <c r="O56">
        <f>IF((tt-dkyma*$I56)&gt;0,IF((tt-dkyma*$I56)&lt;N$39,yarxi+caera1*SIN(N$21)*(tt-dkyma*$I56),IF(AND((tt-dkyma*$I56)&gt;N$39,(tt-dkyma*$I56)&lt;N$39+O$39),O$8+O$43*((tt-dkyma*$I56)-N$39),O$9+O$47*((tt-dkyma*$I56)-(N$39+O$39)))),yarxi)</f>
        <v>1.3694997966516986</v>
      </c>
      <c r="P56">
        <f>IF((tt-dkyma*$I56)&gt;0,IF(((tt-dkyma*$I56))&lt;P$39,XARXI2+caera1*COS(P$21)*((tt-dkyma*$I56)),IF(AND(((tt-dkyma*$I56))&gt;JIL$39,((tt-dkyma*$I56))&lt;P$39+Q$39),P$8+P$43*(((tt-dkyma*$I56))-P$39),P$9+P$47*(((tt-dkyma*$I56))-P$39-Q$39))),XARXI2)</f>
        <v>-31.124437482957383</v>
      </c>
      <c r="Q56">
        <f>IF((tt-dkyma*$I56)&gt;0,IF((tt-dkyma*$I56)&lt;P$39,yarxi+caera1*SIN(P$21)*(tt-dkyma*$I56),IF(AND((tt-dkyma*$I56)&gt;P$39,(tt-dkyma*$I56)&lt;P$39+Q$39),Q$8+Q$43*((tt-dkyma*$I56)-P$39),Q$9+Q$47*((tt-dkyma*$I56)-(P$39+Q$39)))),yarxi)</f>
        <v>1.2156336242157137</v>
      </c>
      <c r="R56">
        <f>IF((tt-dkyma*$I56)&gt;0,IF(((tt-dkyma*$I56))&lt;R$39,XARXI2+caera1*COS(R$21)*((tt-dkyma*$I56)),IF(AND(((tt-dkyma*$I56))&gt;JIN$39,((tt-dkyma*$I56))&lt;R$39+S$39),R$8+R$43*(((tt-dkyma*$I56))-R$39),R$9+R$47*(((tt-dkyma*$I56))-R$39-S$39))),XARXI2)</f>
        <v>-31.091258271979633</v>
      </c>
      <c r="S56">
        <f>IF((tt-dkyma*$I56)&gt;0,IF((tt-dkyma*$I56)&lt;R$39,yarxi+caera1*SIN(R$21)*(tt-dkyma*$I56),IF(AND((tt-dkyma*$I56)&gt;R$39,(tt-dkyma*$I56)&lt;R$39+S$39),S$8+S$43*((tt-dkyma*$I56)-R$39),S$9+S$47*((tt-dkyma*$I56)-(R$39+S$39)))),yarxi)</f>
        <v>1.0424831852605159</v>
      </c>
      <c r="T56">
        <f>IF((tt-dkyma*$I56)&gt;0,IF(((tt-dkyma*$I56))&lt;T$39,XARXI2+caera1*COS(T$21)*((tt-dkyma*$I56)),IF(AND(((tt-dkyma*$I56))&gt;JIP$39,((tt-dkyma*$I56))&lt;T$39+U$39),T$8+T$43*(((tt-dkyma*$I56))-T$39),T$9+T$47*(((tt-dkyma*$I56))-T$39-U$39))),XARXI2)</f>
        <v>-31.061009838150003</v>
      </c>
      <c r="U56">
        <f>IF((tt-dkyma*$I56)&gt;0,IF((tt-dkyma*$I56)&lt;T$39,yarxi+caera1*SIN(T$21)*(tt-dkyma*$I56),IF(AND((tt-dkyma*$I56)&gt;T$39,(tt-dkyma*$I56)&lt;T$39+U$39),U$8+U$43*((tt-dkyma*$I56)-T$39),U$9+U$47*((tt-dkyma*$I56)-(T$39+U$39)))),yarxi)</f>
        <v>0.85346110482490622</v>
      </c>
      <c r="V56">
        <f>IF((tt-dkyma*$I56)&gt;0,IF(((tt-dkyma*$I56))&lt;V$39,XARXI2+caera1*COS(V$21)*((tt-dkyma*$I56)),IF(AND(((tt-dkyma*$I56))&gt;JIR$39,((tt-dkyma*$I56))&lt;V$39+W$39),V$8+V$43*(((tt-dkyma*$I56))-V$39),V$9+V$47*(((tt-dkyma*$I56))-V$39-W$39))),XARXI2)</f>
        <v>-31.035487638126313</v>
      </c>
      <c r="W56">
        <f>IF((tt-dkyma*$I56)&gt;0,IF((tt-dkyma*$I56)&lt;V$39,yarxi+caera1*SIN(V$21)*(tt-dkyma*$I56),IF(AND((tt-dkyma*$I56)&gt;V$39,(tt-dkyma*$I56)&lt;V$39+W$39),W$8+W$43*((tt-dkyma*$I56)-V$39),W$9+W$47*((tt-dkyma*$I56)-(V$39+W$39)))),yarxi)</f>
        <v>0.65160746240046774</v>
      </c>
      <c r="X56">
        <f>IF((tt-dkyma*$I56)&gt;0,IF(((tt-dkyma*$I56))&lt;X$39,XARXI2+caera1*COS(X$21)*((tt-dkyma*$I56)),IF(AND(((tt-dkyma*$I56))&gt;JIT$39,((tt-dkyma*$I56))&lt;X$39+Y$39),X$8+X$43*(((tt-dkyma*$I56))-X$39),X$9+X$47*(((tt-dkyma*$I56))-X$39-Y$39))),XARXI2)</f>
        <v>-31.016151833951071</v>
      </c>
      <c r="Y56">
        <f>IF((tt-dkyma*$I56)&gt;0,IF((tt-dkyma*$I56)&lt;X$39,yarxi+caera1*SIN(X$21)*(tt-dkyma*$I56),IF(AND((tt-dkyma*$I56)&gt;X$39,(tt-dkyma*$I56)&lt;X$39+Y$39),Y$8+Y$43*((tt-dkyma*$I56)-X$39),Y$9+Y$47*((tt-dkyma*$I56)-(X$39+Y$39)))),yarxi)</f>
        <v>0.43995582241044079</v>
      </c>
      <c r="Z56">
        <f>IF((tt-dkyma*$I56)&gt;0,IF(((tt-dkyma*$I56))&lt;Z$39,XARXI2+caera1*COS(Z$21)*((tt-dkyma*$I56)),IF(AND(((tt-dkyma*$I56))&gt;JIV$39,((tt-dkyma*$I56))&lt;Z$39+AA$39),Z$8+Z$43*(((tt-dkyma*$I56))-Z$39),Z$9+Z$47*(((tt-dkyma*$I56))-Z$39-AA$39))),XARXI2)</f>
        <v>-31.004095791211576</v>
      </c>
      <c r="AA56">
        <f>IF((tt-dkyma*$I56)&gt;0,IF((tt-dkyma*$I56)&lt;Z$39,yarxi+caera1*SIN(Z$21)*(tt-dkyma*$I56),IF(AND((tt-dkyma*$I56)&gt;Z$39,(tt-dkyma*$I56)&lt;Z$39+AA$39),AA$8+AA$43*((tt-dkyma*$I56)-Z$39),AA$9+AA$47*((tt-dkyma*$I56)-(Z$39+AA$39)))),yarxi)</f>
        <v>0.2216590152311525</v>
      </c>
      <c r="AB56">
        <f>IF((tt-dkyma*$I56)&gt;0,IF(((tt-dkyma*$I56))&lt;AB$39,XARXI2+caera1*COS(AB$21)*((tt-dkyma*$I56)),IF(AND(((tt-dkyma*$I56))&gt;AB$39,((tt-dkyma*$I56))&lt;AB$39+AC$39),AB$8+AB$43*(((tt-dkyma*$I56))-AB$39),AB$9+AB$47*(((tt-dkyma*$I56))-AB$39-AC$39))),XARXI2)</f>
        <v>-31</v>
      </c>
      <c r="AC56">
        <f>IF((tt-dkyma*$I56)&gt;0,IF((tt-dkyma*$I56)&lt;AB$39,yarxi+caera1*SIN(AB$21)*(tt-dkyma*$I56),IF(AND((tt-dkyma*$I56)&gt;AB$39,(tt-dkyma*$I56)&lt;AB$39+AC$39),AC$8+AC$43*((tt-dkyma*$I56)-AB$39),AC$9+AC$47*((tt-dkyma*$I56)-(AB$39+AC$39)))),yarxi)</f>
        <v>0</v>
      </c>
      <c r="AS56">
        <f t="shared" si="4"/>
        <v>46</v>
      </c>
      <c r="AT56">
        <f t="shared" si="1"/>
        <v>-5.3999999999999995</v>
      </c>
      <c r="AU56">
        <f t="shared" si="2"/>
        <v>8.4166501650003251</v>
      </c>
      <c r="AV56">
        <f t="shared" si="3"/>
        <v>-8.4166501650003251</v>
      </c>
    </row>
    <row r="57" spans="1:68" x14ac:dyDescent="0.25">
      <c r="A57" t="s">
        <v>105</v>
      </c>
      <c r="D57">
        <f>f_point*(0-XARXI2)/(0-XARXI2-f_point)</f>
        <v>45.552763819095482</v>
      </c>
      <c r="E57">
        <v>0</v>
      </c>
      <c r="I57">
        <f>I56</f>
        <v>3</v>
      </c>
      <c r="J57">
        <f>IF((tt-dkyma*$I56)&gt;0,IF((tt-dkyma*$I56)&lt;J$40,XARXI2+caera1*COS(J$38)*(tt-dkyma*$I56),IF(AND((tt-dkyma*$I56)&gt;J$40,(tt-dkyma*$I56)&lt;J$40+K$40),J$25+J$44*((tt-dkyma*$I56)-J$40),J$26+J$48*((tt-dkyma*$I56)-J$40-K$40))),XARXI2)</f>
        <v>-31.215842564929673</v>
      </c>
      <c r="K57">
        <f>IF((tt-dkyma*$I56)&gt;0,IF((tt-dkyma*$I56)&lt;J$40,yarxi+caera1*SIN(J$38)*(tt-dkyma*$I56),IF(AND((tt-dkyma*$I56)&gt;J$40,(tt-dkyma*$I56)&lt;J$40+K$40),K$25+K$44*((tt-dkyma*$I56)-J$40),K$26+K$48*((tt-dkyma*$I56)-(J$40+K$40)))),yarxi)</f>
        <v>-1.594842552204021</v>
      </c>
      <c r="L57">
        <f>IF((tt-dkyma*$I56)&gt;0,IF((tt-dkyma*$I56)&lt;L$40,XARXI2+caera1*COS(L$38)*(tt-dkyma*$I56),IF(AND((tt-dkyma*$I56)&gt;L$40,(tt-dkyma*$I56)&lt;L$40+M$40),L$25+L$44*((tt-dkyma*$I56)-L$40),L$26+L$48*((tt-dkyma*$I56)-L$40-M$40))),XARXI2)</f>
        <v>-31.190336057743856</v>
      </c>
      <c r="M57">
        <f>IF((tt-dkyma*$I56)&gt;0,IF((tt-dkyma*$I56)&lt;L$40,yarxi+caera1*SIN(L$38)*(tt-dkyma*$I56),IF(AND((tt-dkyma*$I56)&gt;L$40,(tt-dkyma*$I56)&lt;L$40+M$40),M$25+M$44*((tt-dkyma*$I56)-L$40),M$26+M$48*((tt-dkyma*$I56)-(L$40+M$40)))),yarxi)</f>
        <v>-1.4992681141306181</v>
      </c>
      <c r="N57">
        <f>IF((tt-dkyma*$I56)&gt;0,IF((tt-dkyma*$I56)&lt;N$40,XARXI2+caera1*COS(N$38)*(tt-dkyma*$I56),IF(AND((tt-dkyma*$I56)&gt;N$40,(tt-dkyma*$I56)&lt;N$40+O$40),N$25+N$44*((tt-dkyma*$I56)-N$40),N$26+N$48*((tt-dkyma*$I56)-N$40-O$40))),XARXI2)</f>
        <v>-31.158384614939891</v>
      </c>
      <c r="O57">
        <f>IF((tt-dkyma*$I56)&gt;0,IF((tt-dkyma*$I56)&lt;N$40,yarxi+caera1*SIN(N$38)*(tt-dkyma*$I56),IF(AND((tt-dkyma*$I56)&gt;N$40,(tt-dkyma*$I56)&lt;N$40+O$40),O$25+O$44*((tt-dkyma*$I56)-N$40),O$26+O$48*((tt-dkyma*$I56)-(N$40+O$40)))),yarxi)</f>
        <v>-1.3694997966516986</v>
      </c>
      <c r="P57">
        <f>IF((tt-dkyma*$I56)&gt;0,IF((tt-dkyma*$I56)&lt;P$40,XARXI2+caera1*COS(P$38)*(tt-dkyma*$I56),IF(AND((tt-dkyma*$I56)&gt;P$40,(tt-dkyma*$I56)&lt;P$40+Q$40),P$25+P$44*((tt-dkyma*$I56)-P$40),P$26+P$48*((tt-dkyma*$I56)-P$40-Q$40))),XARXI2)</f>
        <v>-31.124437482957383</v>
      </c>
      <c r="Q57">
        <f>IF((tt-dkyma*$I56)&gt;0,IF((tt-dkyma*$I56)&lt;P$40,yarxi+caera1*SIN(P$38)*(tt-dkyma*$I56),IF(AND((tt-dkyma*$I56)&gt;P$40,(tt-dkyma*$I56)&lt;P$40+Q$40),Q$25+Q$44*((tt-dkyma*$I56)-P$40),Q$26+Q$48*((tt-dkyma*$I56)-(P$40+Q$40)))),yarxi)</f>
        <v>-1.2156336242157137</v>
      </c>
      <c r="R57">
        <f>IF((tt-dkyma*$I56)&gt;0,IF((tt-dkyma*$I56)&lt;R$40,XARXI2+caera1*COS(R$38)*(tt-dkyma*$I56),IF(AND((tt-dkyma*$I56)&gt;R$40,(tt-dkyma*$I56)&lt;R$40+S$40),R$25+R$44*((tt-dkyma*$I56)-R$40),R$26+R$48*((tt-dkyma*$I56)-R$40-S$40))),XARXI2)</f>
        <v>-31.091258271979633</v>
      </c>
      <c r="S57">
        <f>IF((tt-dkyma*$I56)&gt;0,IF((tt-dkyma*$I56)&lt;R$40,yarxi+caera1*SIN(R$38)*(tt-dkyma*$I56),IF(AND((tt-dkyma*$I56)&gt;R$40,(tt-dkyma*$I56)&lt;R$40+S$40),S$25+S$44*((tt-dkyma*$I56)-R$40),S$26+S$48*((tt-dkyma*$I56)-(R$40+S$40)))),yarxi)</f>
        <v>-1.0424831852605159</v>
      </c>
      <c r="T57">
        <f>IF((tt-dkyma*$I56)&gt;0,IF((tt-dkyma*$I56)&lt;T$40,XARXI2+caera1*COS(T$38)*(tt-dkyma*$I56),IF(AND((tt-dkyma*$I56)&gt;T$40,(tt-dkyma*$I56)&lt;T$40+U$40),T$25+T$44*((tt-dkyma*$I56)-T$40),T$26+T$48*((tt-dkyma*$I56)-T$40-U$40))),XARXI2)</f>
        <v>-31.061009838150003</v>
      </c>
      <c r="U57">
        <f>IF((tt-dkyma*$I56)&gt;0,IF((tt-dkyma*$I56)&lt;T$40,yarxi+caera1*SIN(T$38)*(tt-dkyma*$I56),IF(AND((tt-dkyma*$I56)&gt;T$40,(tt-dkyma*$I56)&lt;T$40+U$40),U$25+U$44*((tt-dkyma*$I56)-T$40),U$26+U$48*((tt-dkyma*$I56)-(T$40+U$40)))),yarxi)</f>
        <v>-0.85346110482490622</v>
      </c>
      <c r="V57">
        <f>IF((tt-dkyma*$I56)&gt;0,IF((tt-dkyma*$I56)&lt;V$40,XARXI2+caera1*COS(V$38)*(tt-dkyma*$I56),IF(AND((tt-dkyma*$I56)&gt;V$40,(tt-dkyma*$I56)&lt;V$40+W$40),V$25+V$44*((tt-dkyma*$I56)-V$40),V$26+V$48*((tt-dkyma*$I56)-V$40-W$40))),XARXI2)</f>
        <v>-31.035487638126313</v>
      </c>
      <c r="W57">
        <f>IF((tt-dkyma*$I56)&gt;0,IF((tt-dkyma*$I56)&lt;V$40,yarxi+caera1*SIN(V$38)*(tt-dkyma*$I56),IF(AND((tt-dkyma*$I56)&gt;V$40,(tt-dkyma*$I56)&lt;V$40+W$40),W$25+W$44*((tt-dkyma*$I56)-V$40),W$26+W$48*((tt-dkyma*$I56)-(V$40+W$40)))),yarxi)</f>
        <v>-0.65160746240046774</v>
      </c>
      <c r="X57">
        <f>IF((tt-dkyma*$I56)&gt;0,IF((tt-dkyma*$I56)&lt;X$40,XARXI2+caera1*COS(X$38)*(tt-dkyma*$I56),IF(AND((tt-dkyma*$I56)&gt;X$40,(tt-dkyma*$I56)&lt;X$40+Y$40),X$25+X$44*((tt-dkyma*$I56)-X$40),X$26+X$48*((tt-dkyma*$I56)-X$40-Y$40))),XARXI2)</f>
        <v>-31.016151833951071</v>
      </c>
      <c r="Y57">
        <f>IF((tt-dkyma*$I56)&gt;0,IF((tt-dkyma*$I56)&lt;X$40,yarxi+caera1*SIN(X$38)*(tt-dkyma*$I56),IF(AND((tt-dkyma*$I56)&gt;X$40,(tt-dkyma*$I56)&lt;X$40+Y$40),Y$25+Y$44*((tt-dkyma*$I56)-X$40),Y$26+Y$48*((tt-dkyma*$I56)-(X$40+Y$40)))),yarxi)</f>
        <v>-0.43995582241044079</v>
      </c>
      <c r="Z57">
        <f>IF((tt-dkyma*$I56)&gt;0,IF((tt-dkyma*$I56)&lt;Z$40,XARXI2+caera1*COS(Z$38)*(tt-dkyma*$I56),IF(AND((tt-dkyma*$I56)&gt;Z$40,(tt-dkyma*$I56)&lt;Z$40+AA$40),Z$25+Z$44*((tt-dkyma*$I56)-Z$40),Z$26+Z$48*((tt-dkyma*$I56)-Z$40-AA$40))),XARXI2)</f>
        <v>-31.004095791211576</v>
      </c>
      <c r="AA57">
        <f>IF((tt-dkyma*$I56)&gt;0,IF((tt-dkyma*$I56)&lt;Z$40,yarxi+caera1*SIN(Z$38)*(tt-dkyma*$I56),IF(AND((tt-dkyma*$I56)&gt;Z$40,(tt-dkyma*$I56)&lt;Z$40+AA$40),AA$25+AA$44*((tt-dkyma*$I56)-Z$40),AA$26+AA$48*((tt-dkyma*$I56)-(Z$40+AA$40)))),yarxi)</f>
        <v>-0.2216590152311525</v>
      </c>
      <c r="AS57">
        <f t="shared" si="4"/>
        <v>47</v>
      </c>
      <c r="AT57">
        <f t="shared" si="1"/>
        <v>-5.3</v>
      </c>
      <c r="AU57">
        <f t="shared" si="2"/>
        <v>8.4799764150615413</v>
      </c>
      <c r="AV57">
        <f t="shared" si="3"/>
        <v>-8.4799764150615413</v>
      </c>
    </row>
    <row r="58" spans="1:68" x14ac:dyDescent="0.25">
      <c r="A58">
        <f>D58</f>
        <v>45.54582591252607</v>
      </c>
      <c r="B58">
        <f>E58</f>
        <v>-0.79500534851243743</v>
      </c>
      <c r="D58">
        <f>D57*COS(gonia_pigi)</f>
        <v>45.54582591252607</v>
      </c>
      <c r="E58">
        <f>-SIN(gonia_pigi)*D57</f>
        <v>-0.79500534851243743</v>
      </c>
      <c r="I58">
        <f>I56+1</f>
        <v>4</v>
      </c>
      <c r="J58">
        <f>IF((tt-dkyma*$I58)&gt;0,IF(((tt-dkyma*$I58))&lt;J$39,XARXI2+caera1*COS(J$21)*((tt-dkyma*$I58)),IF(AND(((tt-dkyma*$I58))&gt;JIF$39,((tt-dkyma*$I58))&lt;J$39+K$39),J$8+J$43*(((tt-dkyma*$I58))-J$39),J$9+J$47*(((tt-dkyma*$I58))-J$39-K$39))),XARXI2)</f>
        <v>-36.035973760821612</v>
      </c>
      <c r="K58">
        <f>IF((tt-dkyma*$I58)&gt;0,IF((tt-dkyma*$I58)&lt;J$39,yarxi+caera1*SIN(J$21)*(tt-dkyma*$I58),IF(AND((tt-dkyma*$I58)&gt;J$39,(tt-dkyma*$I58)&lt;J$39+K$39),K$8+K$43*((tt-dkyma*$I58)-J$39),K$9+K$47*((tt-dkyma*$I58)-(J$39+K$39)))),yarxi)</f>
        <v>0.26580709203400349</v>
      </c>
      <c r="L58">
        <f>IF((tt-dkyma*$I58)&gt;0,IF(((tt-dkyma*$I58))&lt;L$39,XARXI2+caera1*COS(L$21)*((tt-dkyma*$I58)),IF(AND(((tt-dkyma*$I58))&gt;JIH$39,((tt-dkyma*$I58))&lt;L$39+M$39),L$8+L$43*(((tt-dkyma*$I58))-L$39),L$9+L$47*(((tt-dkyma*$I58))-L$39-M$39))),XARXI2)</f>
        <v>-36.031722676290642</v>
      </c>
      <c r="M58">
        <f>IF((tt-dkyma*$I58)&gt;0,IF((tt-dkyma*$I58)&lt;L$39,yarxi+caera1*SIN(L$21)*(tt-dkyma*$I58),IF(AND((tt-dkyma*$I58)&gt;L$39,(tt-dkyma*$I58)&lt;L$39+M$39),M$8+M$43*((tt-dkyma*$I58)-L$39),M$9+M$47*((tt-dkyma*$I58)-(L$39+M$39)))),yarxi)</f>
        <v>0.2498780190217697</v>
      </c>
      <c r="N58">
        <f>IF((tt-dkyma*$I58)&gt;0,IF(((tt-dkyma*$I58))&lt;N$39,XARXI2+caera1*COS(N$21)*((tt-dkyma*$I58)),IF(AND(((tt-dkyma*$I58))&gt;JIJ$39,((tt-dkyma*$I58))&lt;N$39+O$39),N$8+N$43*(((tt-dkyma*$I58))-N$39),N$9+N$47*(((tt-dkyma*$I58))-N$39-O$39))),XARXI2)</f>
        <v>-36.026397435823313</v>
      </c>
      <c r="O58">
        <f>IF((tt-dkyma*$I58)&gt;0,IF((tt-dkyma*$I58)&lt;N$39,yarxi+caera1*SIN(N$21)*(tt-dkyma*$I58),IF(AND((tt-dkyma*$I58)&gt;N$39,(tt-dkyma*$I58)&lt;N$39+O$39),O$8+O$43*((tt-dkyma*$I58)-N$39),O$9+O$47*((tt-dkyma*$I58)-(N$39+O$39)))),yarxi)</f>
        <v>0.22824996610861645</v>
      </c>
      <c r="P58">
        <f>IF((tt-dkyma*$I58)&gt;0,IF(((tt-dkyma*$I58))&lt;P$39,XARXI2+caera1*COS(P$21)*((tt-dkyma*$I58)),IF(AND(((tt-dkyma*$I58))&gt;JIL$39,((tt-dkyma*$I58))&lt;P$39+Q$39),P$8+P$43*(((tt-dkyma*$I58))-P$39),P$9+P$47*(((tt-dkyma*$I58))-P$39-Q$39))),XARXI2)</f>
        <v>-36.020739580492901</v>
      </c>
      <c r="Q58">
        <f>IF((tt-dkyma*$I58)&gt;0,IF((tt-dkyma*$I58)&lt;P$39,yarxi+caera1*SIN(P$21)*(tt-dkyma*$I58),IF(AND((tt-dkyma*$I58)&gt;P$39,(tt-dkyma*$I58)&lt;P$39+Q$39),Q$8+Q$43*((tt-dkyma*$I58)-P$39),Q$9+Q$47*((tt-dkyma*$I58)-(P$39+Q$39)))),yarxi)</f>
        <v>0.20260560403595229</v>
      </c>
      <c r="R58">
        <f>IF((tt-dkyma*$I58)&gt;0,IF(((tt-dkyma*$I58))&lt;R$39,XARXI2+caera1*COS(R$21)*((tt-dkyma*$I58)),IF(AND(((tt-dkyma*$I58))&gt;JIN$39,((tt-dkyma*$I58))&lt;R$39+S$39),R$8+R$43*(((tt-dkyma*$I58))-R$39),R$9+R$47*(((tt-dkyma*$I58))-R$39-S$39))),XARXI2)</f>
        <v>-36.015209711996604</v>
      </c>
      <c r="S58">
        <f>IF((tt-dkyma*$I58)&gt;0,IF((tt-dkyma*$I58)&lt;R$39,yarxi+caera1*SIN(R$21)*(tt-dkyma*$I58),IF(AND((tt-dkyma*$I58)&gt;R$39,(tt-dkyma*$I58)&lt;R$39+S$39),S$8+S$43*((tt-dkyma*$I58)-R$39),S$9+S$47*((tt-dkyma*$I58)-(R$39+S$39)))),yarxi)</f>
        <v>0.1737471975434193</v>
      </c>
      <c r="T58">
        <f>IF((tt-dkyma*$I58)&gt;0,IF(((tt-dkyma*$I58))&lt;T$39,XARXI2+caera1*COS(T$21)*((tt-dkyma*$I58)),IF(AND(((tt-dkyma*$I58))&gt;JIP$39,((tt-dkyma*$I58))&lt;T$39+U$39),T$8+T$43*(((tt-dkyma*$I58))-T$39),T$9+T$47*(((tt-dkyma*$I58))-T$39-U$39))),XARXI2)</f>
        <v>-36.010168306358331</v>
      </c>
      <c r="U58">
        <f>IF((tt-dkyma*$I58)&gt;0,IF((tt-dkyma*$I58)&lt;T$39,yarxi+caera1*SIN(T$21)*(tt-dkyma*$I58),IF(AND((tt-dkyma*$I58)&gt;T$39,(tt-dkyma*$I58)&lt;T$39+U$39),U$8+U$43*((tt-dkyma*$I58)-T$39),U$9+U$47*((tt-dkyma*$I58)-(T$39+U$39)))),yarxi)</f>
        <v>0.1422435174708177</v>
      </c>
      <c r="V58">
        <f>IF((tt-dkyma*$I58)&gt;0,IF(((tt-dkyma*$I58))&lt;V$39,XARXI2+caera1*COS(V$21)*((tt-dkyma*$I58)),IF(AND(((tt-dkyma*$I58))&gt;JIR$39,((tt-dkyma*$I58))&lt;V$39+W$39),V$8+V$43*(((tt-dkyma*$I58))-V$39),V$9+V$47*(((tt-dkyma*$I58))-V$39-W$39))),XARXI2)</f>
        <v>-36.005914606354388</v>
      </c>
      <c r="W58">
        <f>IF((tt-dkyma*$I58)&gt;0,IF((tt-dkyma*$I58)&lt;V$39,yarxi+caera1*SIN(V$21)*(tt-dkyma*$I58),IF(AND((tt-dkyma*$I58)&gt;V$39,(tt-dkyma*$I58)&lt;V$39+W$39),W$8+W$43*((tt-dkyma*$I58)-V$39),W$9+W$47*((tt-dkyma*$I58)-(V$39+W$39)))),yarxi)</f>
        <v>0.10860124373341129</v>
      </c>
      <c r="X58">
        <f>IF((tt-dkyma*$I58)&gt;0,IF(((tt-dkyma*$I58))&lt;X$39,XARXI2+caera1*COS(X$21)*((tt-dkyma*$I58)),IF(AND(((tt-dkyma*$I58))&gt;JIT$39,((tt-dkyma*$I58))&lt;X$39+Y$39),X$8+X$43*(((tt-dkyma*$I58))-X$39),X$9+X$47*(((tt-dkyma*$I58))-X$39-Y$39))),XARXI2)</f>
        <v>-36.002691972325181</v>
      </c>
      <c r="Y58">
        <f>IF((tt-dkyma*$I58)&gt;0,IF((tt-dkyma*$I58)&lt;X$39,yarxi+caera1*SIN(X$21)*(tt-dkyma*$I58),IF(AND((tt-dkyma*$I58)&gt;X$39,(tt-dkyma*$I58)&lt;X$39+Y$39),Y$8+Y$43*((tt-dkyma*$I58)-X$39),Y$9+Y$47*((tt-dkyma*$I58)-(X$39+Y$39)))),yarxi)</f>
        <v>7.3325970401740131E-2</v>
      </c>
      <c r="Z58">
        <f>IF((tt-dkyma*$I58)&gt;0,IF(((tt-dkyma*$I58))&lt;Z$39,XARXI2+caera1*COS(Z$21)*((tt-dkyma*$I58)),IF(AND(((tt-dkyma*$I58))&gt;JIV$39,((tt-dkyma*$I58))&lt;Z$39+AA$39),Z$8+Z$43*(((tt-dkyma*$I58))-Z$39),Z$9+Z$47*(((tt-dkyma*$I58))-Z$39-AA$39))),XARXI2)</f>
        <v>-36.000682631868592</v>
      </c>
      <c r="AA58">
        <f>IF((tt-dkyma*$I58)&gt;0,IF((tt-dkyma*$I58)&lt;Z$39,yarxi+caera1*SIN(Z$21)*(tt-dkyma*$I58),IF(AND((tt-dkyma*$I58)&gt;Z$39,(tt-dkyma*$I58)&lt;Z$39+AA$39),AA$8+AA$43*((tt-dkyma*$I58)-Z$39),AA$9+AA$47*((tt-dkyma*$I58)-(Z$39+AA$39)))),yarxi)</f>
        <v>3.6943169205192083E-2</v>
      </c>
      <c r="AB58">
        <f>IF((tt-dkyma*$I58)&gt;0,IF(((tt-dkyma*$I58))&lt;AB$39,XARXI2+caera1*COS(AB$21)*((tt-dkyma*$I58)),IF(AND(((tt-dkyma*$I58))&gt;AB$39,((tt-dkyma*$I58))&lt;AB$39+AC$39),AB$8+AB$43*(((tt-dkyma*$I58))-AB$39),AB$9+AB$47*(((tt-dkyma*$I58))-AB$39-AC$39))),XARXI2)</f>
        <v>-36</v>
      </c>
      <c r="AC58">
        <f>IF((tt-dkyma*$I58)&gt;0,IF((tt-dkyma*$I58)&lt;AB$39,yarxi+caera1*SIN(AB$21)*(tt-dkyma*$I58),IF(AND((tt-dkyma*$I58)&gt;AB$39,(tt-dkyma*$I58)&lt;AB$39+AC$39),AC$8+AC$43*((tt-dkyma*$I58)-AB$39),AC$9+AC$47*((tt-dkyma*$I58)-(AB$39+AC$39)))),yarxi)</f>
        <v>0</v>
      </c>
      <c r="AS58">
        <f t="shared" si="4"/>
        <v>48</v>
      </c>
      <c r="AT58">
        <f t="shared" si="1"/>
        <v>-5.1999999999999993</v>
      </c>
      <c r="AU58">
        <f t="shared" si="2"/>
        <v>8.541662601625049</v>
      </c>
      <c r="AV58">
        <f t="shared" si="3"/>
        <v>-8.541662601625049</v>
      </c>
    </row>
    <row r="59" spans="1:68" x14ac:dyDescent="0.25">
      <c r="A59">
        <f>A58</f>
        <v>45.54582591252607</v>
      </c>
      <c r="B59">
        <v>0</v>
      </c>
      <c r="I59">
        <f>I58</f>
        <v>4</v>
      </c>
      <c r="J59">
        <f>IF((tt-dkyma*$I58)&gt;0,IF((tt-dkyma*$I58)&lt;J$40,XARXI2+caera1*COS(J$38)*(tt-dkyma*$I58),IF(AND((tt-dkyma*$I58)&gt;J$40,(tt-dkyma*$I58)&lt;J$40+K$40),J$25+J$44*((tt-dkyma*$I58)-J$40),J$26+J$48*((tt-dkyma*$I58)-J$40-K$40))),XARXI2)</f>
        <v>-36.035973760821612</v>
      </c>
      <c r="K59">
        <f>IF((tt-dkyma*$I58)&gt;0,IF((tt-dkyma*$I58)&lt;J$40,yarxi+caera1*SIN(J$38)*(tt-dkyma*$I58),IF(AND((tt-dkyma*$I58)&gt;J$40,(tt-dkyma*$I58)&lt;J$40+K$40),K$25+K$44*((tt-dkyma*$I58)-J$40),K$26+K$48*((tt-dkyma*$I58)-(J$40+K$40)))),yarxi)</f>
        <v>-0.26580709203400349</v>
      </c>
      <c r="L59">
        <f>IF((tt-dkyma*$I58)&gt;0,IF((tt-dkyma*$I58)&lt;L$40,XARXI2+caera1*COS(L$38)*(tt-dkyma*$I58),IF(AND((tt-dkyma*$I58)&gt;L$40,(tt-dkyma*$I58)&lt;L$40+M$40),L$25+L$44*((tt-dkyma*$I58)-L$40),L$26+L$48*((tt-dkyma*$I58)-L$40-M$40))),XARXI2)</f>
        <v>-36.031722676290642</v>
      </c>
      <c r="M59">
        <f>IF((tt-dkyma*$I58)&gt;0,IF((tt-dkyma*$I58)&lt;L$40,yarxi+caera1*SIN(L$38)*(tt-dkyma*$I58),IF(AND((tt-dkyma*$I58)&gt;L$40,(tt-dkyma*$I58)&lt;L$40+M$40),M$25+M$44*((tt-dkyma*$I58)-L$40),M$26+M$48*((tt-dkyma*$I58)-(L$40+M$40)))),yarxi)</f>
        <v>-0.2498780190217697</v>
      </c>
      <c r="N59">
        <f>IF((tt-dkyma*$I58)&gt;0,IF((tt-dkyma*$I58)&lt;N$40,XARXI2+caera1*COS(N$38)*(tt-dkyma*$I58),IF(AND((tt-dkyma*$I58)&gt;N$40,(tt-dkyma*$I58)&lt;N$40+O$40),N$25+N$44*((tt-dkyma*$I58)-N$40),N$26+N$48*((tt-dkyma*$I58)-N$40-O$40))),XARXI2)</f>
        <v>-36.026397435823313</v>
      </c>
      <c r="O59">
        <f>IF((tt-dkyma*$I58)&gt;0,IF((tt-dkyma*$I58)&lt;N$40,yarxi+caera1*SIN(N$38)*(tt-dkyma*$I58),IF(AND((tt-dkyma*$I58)&gt;N$40,(tt-dkyma*$I58)&lt;N$40+O$40),O$25+O$44*((tt-dkyma*$I58)-N$40),O$26+O$48*((tt-dkyma*$I58)-(N$40+O$40)))),yarxi)</f>
        <v>-0.22824996610861645</v>
      </c>
      <c r="P59">
        <f>IF((tt-dkyma*$I58)&gt;0,IF((tt-dkyma*$I58)&lt;P$40,XARXI2+caera1*COS(P$38)*(tt-dkyma*$I58),IF(AND((tt-dkyma*$I58)&gt;P$40,(tt-dkyma*$I58)&lt;P$40+Q$40),P$25+P$44*((tt-dkyma*$I58)-P$40),P$26+P$48*((tt-dkyma*$I58)-P$40-Q$40))),XARXI2)</f>
        <v>-36.020739580492901</v>
      </c>
      <c r="Q59">
        <f>IF((tt-dkyma*$I58)&gt;0,IF((tt-dkyma*$I58)&lt;P$40,yarxi+caera1*SIN(P$38)*(tt-dkyma*$I58),IF(AND((tt-dkyma*$I58)&gt;P$40,(tt-dkyma*$I58)&lt;P$40+Q$40),Q$25+Q$44*((tt-dkyma*$I58)-P$40),Q$26+Q$48*((tt-dkyma*$I58)-(P$40+Q$40)))),yarxi)</f>
        <v>-0.20260560403595229</v>
      </c>
      <c r="R59">
        <f>IF((tt-dkyma*$I58)&gt;0,IF((tt-dkyma*$I58)&lt;R$40,XARXI2+caera1*COS(R$38)*(tt-dkyma*$I58),IF(AND((tt-dkyma*$I58)&gt;R$40,(tt-dkyma*$I58)&lt;R$40+S$40),R$25+R$44*((tt-dkyma*$I58)-R$40),R$26+R$48*((tt-dkyma*$I58)-R$40-S$40))),XARXI2)</f>
        <v>-36.015209711996604</v>
      </c>
      <c r="S59">
        <f>IF((tt-dkyma*$I58)&gt;0,IF((tt-dkyma*$I58)&lt;R$40,yarxi+caera1*SIN(R$38)*(tt-dkyma*$I58),IF(AND((tt-dkyma*$I58)&gt;R$40,(tt-dkyma*$I58)&lt;R$40+S$40),S$25+S$44*((tt-dkyma*$I58)-R$40),S$26+S$48*((tt-dkyma*$I58)-(R$40+S$40)))),yarxi)</f>
        <v>-0.1737471975434193</v>
      </c>
      <c r="T59">
        <f>IF((tt-dkyma*$I58)&gt;0,IF((tt-dkyma*$I58)&lt;T$40,XARXI2+caera1*COS(T$38)*(tt-dkyma*$I58),IF(AND((tt-dkyma*$I58)&gt;T$40,(tt-dkyma*$I58)&lt;T$40+U$40),T$25+T$44*((tt-dkyma*$I58)-T$40),T$26+T$48*((tt-dkyma*$I58)-T$40-U$40))),XARXI2)</f>
        <v>-36.010168306358331</v>
      </c>
      <c r="U59">
        <f>IF((tt-dkyma*$I58)&gt;0,IF((tt-dkyma*$I58)&lt;T$40,yarxi+caera1*SIN(T$38)*(tt-dkyma*$I58),IF(AND((tt-dkyma*$I58)&gt;T$40,(tt-dkyma*$I58)&lt;T$40+U$40),U$25+U$44*((tt-dkyma*$I58)-T$40),U$26+U$48*((tt-dkyma*$I58)-(T$40+U$40)))),yarxi)</f>
        <v>-0.1422435174708177</v>
      </c>
      <c r="V59">
        <f>IF((tt-dkyma*$I58)&gt;0,IF((tt-dkyma*$I58)&lt;V$40,XARXI2+caera1*COS(V$38)*(tt-dkyma*$I58),IF(AND((tt-dkyma*$I58)&gt;V$40,(tt-dkyma*$I58)&lt;V$40+W$40),V$25+V$44*((tt-dkyma*$I58)-V$40),V$26+V$48*((tt-dkyma*$I58)-V$40-W$40))),XARXI2)</f>
        <v>-36.005914606354388</v>
      </c>
      <c r="W59">
        <f>IF((tt-dkyma*$I58)&gt;0,IF((tt-dkyma*$I58)&lt;V$40,yarxi+caera1*SIN(V$38)*(tt-dkyma*$I58),IF(AND((tt-dkyma*$I58)&gt;V$40,(tt-dkyma*$I58)&lt;V$40+W$40),W$25+W$44*((tt-dkyma*$I58)-V$40),W$26+W$48*((tt-dkyma*$I58)-(V$40+W$40)))),yarxi)</f>
        <v>-0.10860124373341129</v>
      </c>
      <c r="X59">
        <f>IF((tt-dkyma*$I58)&gt;0,IF((tt-dkyma*$I58)&lt;X$40,XARXI2+caera1*COS(X$38)*(tt-dkyma*$I58),IF(AND((tt-dkyma*$I58)&gt;X$40,(tt-dkyma*$I58)&lt;X$40+Y$40),X$25+X$44*((tt-dkyma*$I58)-X$40),X$26+X$48*((tt-dkyma*$I58)-X$40-Y$40))),XARXI2)</f>
        <v>-36.002691972325181</v>
      </c>
      <c r="Y59">
        <f>IF((tt-dkyma*$I58)&gt;0,IF((tt-dkyma*$I58)&lt;X$40,yarxi+caera1*SIN(X$38)*(tt-dkyma*$I58),IF(AND((tt-dkyma*$I58)&gt;X$40,(tt-dkyma*$I58)&lt;X$40+Y$40),Y$25+Y$44*((tt-dkyma*$I58)-X$40),Y$26+Y$48*((tt-dkyma*$I58)-(X$40+Y$40)))),yarxi)</f>
        <v>-7.3325970401740131E-2</v>
      </c>
      <c r="Z59">
        <f>IF((tt-dkyma*$I58)&gt;0,IF((tt-dkyma*$I58)&lt;Z$40,XARXI2+caera1*COS(Z$38)*(tt-dkyma*$I58),IF(AND((tt-dkyma*$I58)&gt;Z$40,(tt-dkyma*$I58)&lt;Z$40+AA$40),Z$25+Z$44*((tt-dkyma*$I58)-Z$40),Z$26+Z$48*((tt-dkyma*$I58)-Z$40-AA$40))),XARXI2)</f>
        <v>-36.000682631868592</v>
      </c>
      <c r="AA59">
        <f>IF((tt-dkyma*$I58)&gt;0,IF((tt-dkyma*$I58)&lt;Z$40,yarxi+caera1*SIN(Z$38)*(tt-dkyma*$I58),IF(AND((tt-dkyma*$I58)&gt;Z$40,(tt-dkyma*$I58)&lt;Z$40+AA$40),AA$25+AA$44*((tt-dkyma*$I58)-Z$40),AA$26+AA$48*((tt-dkyma*$I58)-(Z$40+AA$40)))),yarxi)</f>
        <v>-3.6943169205192083E-2</v>
      </c>
      <c r="AS59">
        <f t="shared" si="4"/>
        <v>49</v>
      </c>
      <c r="AT59">
        <f t="shared" si="1"/>
        <v>-5.0999999999999996</v>
      </c>
      <c r="AU59">
        <f t="shared" si="2"/>
        <v>8.6017440092111563</v>
      </c>
      <c r="AV59">
        <f t="shared" si="3"/>
        <v>-8.6017440092111563</v>
      </c>
    </row>
    <row r="60" spans="1:68" x14ac:dyDescent="0.25">
      <c r="I60">
        <f>I58+1</f>
        <v>5</v>
      </c>
      <c r="J60">
        <f>IF((tt-dkyma*$I60)&gt;0,IF(((tt-dkyma*$I60))&lt;J$39,XARXI2+caera1*COS(J$21)*((tt-dkyma*$I60)),IF(AND(((tt-dkyma*$I60))&gt;JIF$39,((tt-dkyma*$I60))&lt;J$39+K$39),J$8+J$43*(((tt-dkyma*$I60))-J$39),J$9+J$47*(((tt-dkyma*$I60))-J$39-K$39))),XARXI2)</f>
        <v>-37</v>
      </c>
      <c r="K60">
        <f>IF((tt-dkyma*$I60)&gt;0,IF((tt-dkyma*$I60)&lt;J$39,yarxi+caera1*SIN(J$21)*(tt-dkyma*$I60),IF(AND((tt-dkyma*$I60)&gt;J$39,(tt-dkyma*$I60)&lt;J$39+K$39),K$8+K$43*((tt-dkyma*$I60)-J$39),K$9+K$47*((tt-dkyma*$I60)-(J$39+K$39)))),yarxi)</f>
        <v>0</v>
      </c>
      <c r="L60">
        <f>IF((tt-dkyma*$I60)&gt;0,IF(((tt-dkyma*$I60))&lt;L$39,XARXI2+caera1*COS(L$21)*((tt-dkyma*$I60)),IF(AND(((tt-dkyma*$I60))&gt;JIH$39,((tt-dkyma*$I60))&lt;L$39+M$39),L$8+L$43*(((tt-dkyma*$I60))-L$39),L$9+L$47*(((tt-dkyma*$I60))-L$39-M$39))),XARXI2)</f>
        <v>-37</v>
      </c>
      <c r="M60">
        <f>IF((tt-dkyma*$I60)&gt;0,IF((tt-dkyma*$I60)&lt;L$39,yarxi+caera1*SIN(L$21)*(tt-dkyma*$I60),IF(AND((tt-dkyma*$I60)&gt;L$39,(tt-dkyma*$I60)&lt;L$39+M$39),M$8+M$43*((tt-dkyma*$I60)-L$39),M$9+M$47*((tt-dkyma*$I60)-(L$39+M$39)))),yarxi)</f>
        <v>0</v>
      </c>
      <c r="N60">
        <f>IF((tt-dkyma*$I60)&gt;0,IF(((tt-dkyma*$I60))&lt;N$39,XARXI2+caera1*COS(N$21)*((tt-dkyma*$I60)),IF(AND(((tt-dkyma*$I60))&gt;JIJ$39,((tt-dkyma*$I60))&lt;N$39+O$39),N$8+N$43*(((tt-dkyma*$I60))-N$39),N$9+N$47*(((tt-dkyma*$I60))-N$39-O$39))),XARXI2)</f>
        <v>-37</v>
      </c>
      <c r="O60">
        <f>IF((tt-dkyma*$I60)&gt;0,IF((tt-dkyma*$I60)&lt;N$39,yarxi+caera1*SIN(N$21)*(tt-dkyma*$I60),IF(AND((tt-dkyma*$I60)&gt;N$39,(tt-dkyma*$I60)&lt;N$39+O$39),O$8+O$43*((tt-dkyma*$I60)-N$39),O$9+O$47*((tt-dkyma*$I60)-(N$39+O$39)))),yarxi)</f>
        <v>0</v>
      </c>
      <c r="P60">
        <f>IF((tt-dkyma*$I60)&gt;0,IF(((tt-dkyma*$I60))&lt;P$39,XARXI2+caera1*COS(P$21)*((tt-dkyma*$I60)),IF(AND(((tt-dkyma*$I60))&gt;JIL$39,((tt-dkyma*$I60))&lt;P$39+Q$39),P$8+P$43*(((tt-dkyma*$I60))-P$39),P$9+P$47*(((tt-dkyma*$I60))-P$39-Q$39))),XARXI2)</f>
        <v>-37</v>
      </c>
      <c r="Q60">
        <f>IF((tt-dkyma*$I60)&gt;0,IF((tt-dkyma*$I60)&lt;P$39,yarxi+caera1*SIN(P$21)*(tt-dkyma*$I60),IF(AND((tt-dkyma*$I60)&gt;P$39,(tt-dkyma*$I60)&lt;P$39+Q$39),Q$8+Q$43*((tt-dkyma*$I60)-P$39),Q$9+Q$47*((tt-dkyma*$I60)-(P$39+Q$39)))),yarxi)</f>
        <v>0</v>
      </c>
      <c r="R60">
        <f>IF((tt-dkyma*$I60)&gt;0,IF(((tt-dkyma*$I60))&lt;R$39,XARXI2+caera1*COS(R$21)*((tt-dkyma*$I60)),IF(AND(((tt-dkyma*$I60))&gt;JIN$39,((tt-dkyma*$I60))&lt;R$39+S$39),R$8+R$43*(((tt-dkyma*$I60))-R$39),R$9+R$47*(((tt-dkyma*$I60))-R$39-S$39))),XARXI2)</f>
        <v>-37</v>
      </c>
      <c r="S60">
        <f>IF((tt-dkyma*$I60)&gt;0,IF((tt-dkyma*$I60)&lt;R$39,yarxi+caera1*SIN(R$21)*(tt-dkyma*$I60),IF(AND((tt-dkyma*$I60)&gt;R$39,(tt-dkyma*$I60)&lt;R$39+S$39),S$8+S$43*((tt-dkyma*$I60)-R$39),S$9+S$47*((tt-dkyma*$I60)-(R$39+S$39)))),yarxi)</f>
        <v>0</v>
      </c>
      <c r="T60">
        <f>IF((tt-dkyma*$I60)&gt;0,IF(((tt-dkyma*$I60))&lt;T$39,XARXI2+caera1*COS(T$21)*((tt-dkyma*$I60)),IF(AND(((tt-dkyma*$I60))&gt;JIP$39,((tt-dkyma*$I60))&lt;T$39+U$39),T$8+T$43*(((tt-dkyma*$I60))-T$39),T$9+T$47*(((tt-dkyma*$I60))-T$39-U$39))),XARXI2)</f>
        <v>-37</v>
      </c>
      <c r="U60">
        <f>IF((tt-dkyma*$I60)&gt;0,IF((tt-dkyma*$I60)&lt;T$39,yarxi+caera1*SIN(T$21)*(tt-dkyma*$I60),IF(AND((tt-dkyma*$I60)&gt;T$39,(tt-dkyma*$I60)&lt;T$39+U$39),U$8+U$43*((tt-dkyma*$I60)-T$39),U$9+U$47*((tt-dkyma*$I60)-(T$39+U$39)))),yarxi)</f>
        <v>0</v>
      </c>
      <c r="V60">
        <f>IF((tt-dkyma*$I60)&gt;0,IF(((tt-dkyma*$I60))&lt;V$39,XARXI2+caera1*COS(V$21)*((tt-dkyma*$I60)),IF(AND(((tt-dkyma*$I60))&gt;JIR$39,((tt-dkyma*$I60))&lt;V$39+W$39),V$8+V$43*(((tt-dkyma*$I60))-V$39),V$9+V$47*(((tt-dkyma*$I60))-V$39-W$39))),XARXI2)</f>
        <v>-37</v>
      </c>
      <c r="W60">
        <f>IF((tt-dkyma*$I60)&gt;0,IF((tt-dkyma*$I60)&lt;V$39,yarxi+caera1*SIN(V$21)*(tt-dkyma*$I60),IF(AND((tt-dkyma*$I60)&gt;V$39,(tt-dkyma*$I60)&lt;V$39+W$39),W$8+W$43*((tt-dkyma*$I60)-V$39),W$9+W$47*((tt-dkyma*$I60)-(V$39+W$39)))),yarxi)</f>
        <v>0</v>
      </c>
      <c r="X60">
        <f>IF((tt-dkyma*$I60)&gt;0,IF(((tt-dkyma*$I60))&lt;X$39,XARXI2+caera1*COS(X$21)*((tt-dkyma*$I60)),IF(AND(((tt-dkyma*$I60))&gt;JIT$39,((tt-dkyma*$I60))&lt;X$39+Y$39),X$8+X$43*(((tt-dkyma*$I60))-X$39),X$9+X$47*(((tt-dkyma*$I60))-X$39-Y$39))),XARXI2)</f>
        <v>-37</v>
      </c>
      <c r="Y60">
        <f>IF((tt-dkyma*$I60)&gt;0,IF((tt-dkyma*$I60)&lt;X$39,yarxi+caera1*SIN(X$21)*(tt-dkyma*$I60),IF(AND((tt-dkyma*$I60)&gt;X$39,(tt-dkyma*$I60)&lt;X$39+Y$39),Y$8+Y$43*((tt-dkyma*$I60)-X$39),Y$9+Y$47*((tt-dkyma*$I60)-(X$39+Y$39)))),yarxi)</f>
        <v>0</v>
      </c>
      <c r="Z60">
        <f>IF((tt-dkyma*$I60)&gt;0,IF(((tt-dkyma*$I60))&lt;Z$39,XARXI2+caera1*COS(Z$21)*((tt-dkyma*$I60)),IF(AND(((tt-dkyma*$I60))&gt;JIV$39,((tt-dkyma*$I60))&lt;Z$39+AA$39),Z$8+Z$43*(((tt-dkyma*$I60))-Z$39),Z$9+Z$47*(((tt-dkyma*$I60))-Z$39-AA$39))),XARXI2)</f>
        <v>-37</v>
      </c>
      <c r="AA60">
        <f>IF((tt-dkyma*$I60)&gt;0,IF((tt-dkyma*$I60)&lt;Z$39,yarxi+caera1*SIN(Z$21)*(tt-dkyma*$I60),IF(AND((tt-dkyma*$I60)&gt;Z$39,(tt-dkyma*$I60)&lt;Z$39+AA$39),AA$8+AA$43*((tt-dkyma*$I60)-Z$39),AA$9+AA$47*((tt-dkyma*$I60)-(Z$39+AA$39)))),yarxi)</f>
        <v>0</v>
      </c>
      <c r="AB60">
        <f>IF((tt-dkyma*$I60)&gt;0,IF(((tt-dkyma*$I60))&lt;AB$39,XARXI2+caera1*COS(AB$21)*((tt-dkyma*$I60)),IF(AND(((tt-dkyma*$I60))&gt;AB$39,((tt-dkyma*$I60))&lt;AB$39+AC$39),AB$8+AB$43*(((tt-dkyma*$I60))-AB$39),AB$9+AB$47*(((tt-dkyma*$I60))-AB$39-AC$39))),XARXI2)</f>
        <v>-37</v>
      </c>
      <c r="AC60">
        <f>IF((tt-dkyma*$I60)&gt;0,IF((tt-dkyma*$I60)&lt;AB$39,yarxi+caera1*SIN(AB$21)*(tt-dkyma*$I60),IF(AND((tt-dkyma*$I60)&gt;AB$39,(tt-dkyma*$I60)&lt;AB$39+AC$39),AC$8+AC$43*((tt-dkyma*$I60)-AB$39),AC$9+AC$47*((tt-dkyma*$I60)-(AB$39+AC$39)))),yarxi)</f>
        <v>0</v>
      </c>
      <c r="AS60">
        <f t="shared" si="4"/>
        <v>50</v>
      </c>
      <c r="AT60">
        <f t="shared" si="1"/>
        <v>-5</v>
      </c>
      <c r="AU60">
        <f t="shared" si="2"/>
        <v>8.6602540378443873</v>
      </c>
      <c r="AV60">
        <f t="shared" si="3"/>
        <v>-8.6602540378443873</v>
      </c>
    </row>
    <row r="61" spans="1:68" x14ac:dyDescent="0.25">
      <c r="I61">
        <f>I60</f>
        <v>5</v>
      </c>
      <c r="J61">
        <f>IF((tt-dkyma*$I60)&gt;0,IF((tt-dkyma*$I60)&lt;J$40,XARXI2+caera1*COS(J$38)*(tt-dkyma*$I60),IF(AND((tt-dkyma*$I60)&gt;J$40,(tt-dkyma*$I60)&lt;J$40+K$40),J$25+J$44*((tt-dkyma*$I60)-J$40),J$26+J$48*((tt-dkyma*$I60)-J$40-K$40))),XARXI2)</f>
        <v>-37</v>
      </c>
      <c r="K61">
        <f>IF((tt-dkyma*$I60)&gt;0,IF((tt-dkyma*$I60)&lt;J$40,yarxi+caera1*SIN(J$38)*(tt-dkyma*$I60),IF(AND((tt-dkyma*$I60)&gt;J$40,(tt-dkyma*$I60)&lt;J$40+K$40),K$25+K$44*((tt-dkyma*$I60)-J$40),K$26+K$48*((tt-dkyma*$I60)-(J$40+K$40)))),yarxi)</f>
        <v>0</v>
      </c>
      <c r="L61">
        <f>IF((tt-dkyma*$I60)&gt;0,IF((tt-dkyma*$I60)&lt;L$40,XARXI2+caera1*COS(L$38)*(tt-dkyma*$I60),IF(AND((tt-dkyma*$I60)&gt;L$40,(tt-dkyma*$I60)&lt;L$40+M$40),L$25+L$44*((tt-dkyma*$I60)-L$40),L$26+L$48*((tt-dkyma*$I60)-L$40-M$40))),XARXI2)</f>
        <v>-37</v>
      </c>
      <c r="M61">
        <f>IF((tt-dkyma*$I60)&gt;0,IF((tt-dkyma*$I60)&lt;L$40,yarxi+caera1*SIN(L$38)*(tt-dkyma*$I60),IF(AND((tt-dkyma*$I60)&gt;L$40,(tt-dkyma*$I60)&lt;L$40+M$40),M$25+M$44*((tt-dkyma*$I60)-L$40),M$26+M$48*((tt-dkyma*$I60)-(L$40+M$40)))),yarxi)</f>
        <v>0</v>
      </c>
      <c r="N61">
        <f>IF((tt-dkyma*$I60)&gt;0,IF((tt-dkyma*$I60)&lt;N$40,XARXI2+caera1*COS(N$38)*(tt-dkyma*$I60),IF(AND((tt-dkyma*$I60)&gt;N$40,(tt-dkyma*$I60)&lt;N$40+O$40),N$25+N$44*((tt-dkyma*$I60)-N$40),N$26+N$48*((tt-dkyma*$I60)-N$40-O$40))),XARXI2)</f>
        <v>-37</v>
      </c>
      <c r="O61">
        <f>IF((tt-dkyma*$I60)&gt;0,IF((tt-dkyma*$I60)&lt;N$40,yarxi+caera1*SIN(N$38)*(tt-dkyma*$I60),IF(AND((tt-dkyma*$I60)&gt;N$40,(tt-dkyma*$I60)&lt;N$40+O$40),O$25+O$44*((tt-dkyma*$I60)-N$40),O$26+O$48*((tt-dkyma*$I60)-(N$40+O$40)))),yarxi)</f>
        <v>0</v>
      </c>
      <c r="P61">
        <f>IF((tt-dkyma*$I60)&gt;0,IF((tt-dkyma*$I60)&lt;P$40,XARXI2+caera1*COS(P$38)*(tt-dkyma*$I60),IF(AND((tt-dkyma*$I60)&gt;P$40,(tt-dkyma*$I60)&lt;P$40+Q$40),P$25+P$44*((tt-dkyma*$I60)-P$40),P$26+P$48*((tt-dkyma*$I60)-P$40-Q$40))),XARXI2)</f>
        <v>-37</v>
      </c>
      <c r="Q61">
        <f>IF((tt-dkyma*$I60)&gt;0,IF((tt-dkyma*$I60)&lt;P$40,yarxi+caera1*SIN(P$38)*(tt-dkyma*$I60),IF(AND((tt-dkyma*$I60)&gt;P$40,(tt-dkyma*$I60)&lt;P$40+Q$40),Q$25+Q$44*((tt-dkyma*$I60)-P$40),Q$26+Q$48*((tt-dkyma*$I60)-(P$40+Q$40)))),yarxi)</f>
        <v>0</v>
      </c>
      <c r="R61">
        <f>IF((tt-dkyma*$I60)&gt;0,IF((tt-dkyma*$I60)&lt;R$40,XARXI2+caera1*COS(R$38)*(tt-dkyma*$I60),IF(AND((tt-dkyma*$I60)&gt;R$40,(tt-dkyma*$I60)&lt;R$40+S$40),R$25+R$44*((tt-dkyma*$I60)-R$40),R$26+R$48*((tt-dkyma*$I60)-R$40-S$40))),XARXI2)</f>
        <v>-37</v>
      </c>
      <c r="S61">
        <f>IF((tt-dkyma*$I60)&gt;0,IF((tt-dkyma*$I60)&lt;R$40,yarxi+caera1*SIN(R$38)*(tt-dkyma*$I60),IF(AND((tt-dkyma*$I60)&gt;R$40,(tt-dkyma*$I60)&lt;R$40+S$40),S$25+S$44*((tt-dkyma*$I60)-R$40),S$26+S$48*((tt-dkyma*$I60)-(R$40+S$40)))),yarxi)</f>
        <v>0</v>
      </c>
      <c r="T61">
        <f>IF((tt-dkyma*$I60)&gt;0,IF((tt-dkyma*$I60)&lt;T$40,XARXI2+caera1*COS(T$38)*(tt-dkyma*$I60),IF(AND((tt-dkyma*$I60)&gt;T$40,(tt-dkyma*$I60)&lt;T$40+U$40),T$25+T$44*((tt-dkyma*$I60)-T$40),T$26+T$48*((tt-dkyma*$I60)-T$40-U$40))),XARXI2)</f>
        <v>-37</v>
      </c>
      <c r="U61">
        <f>IF((tt-dkyma*$I60)&gt;0,IF((tt-dkyma*$I60)&lt;T$40,yarxi+caera1*SIN(T$38)*(tt-dkyma*$I60),IF(AND((tt-dkyma*$I60)&gt;T$40,(tt-dkyma*$I60)&lt;T$40+U$40),U$25+U$44*((tt-dkyma*$I60)-T$40),U$26+U$48*((tt-dkyma*$I60)-(T$40+U$40)))),yarxi)</f>
        <v>0</v>
      </c>
      <c r="V61">
        <f>IF((tt-dkyma*$I60)&gt;0,IF((tt-dkyma*$I60)&lt;V$40,XARXI2+caera1*COS(V$38)*(tt-dkyma*$I60),IF(AND((tt-dkyma*$I60)&gt;V$40,(tt-dkyma*$I60)&lt;V$40+W$40),V$25+V$44*((tt-dkyma*$I60)-V$40),V$26+V$48*((tt-dkyma*$I60)-V$40-W$40))),XARXI2)</f>
        <v>-37</v>
      </c>
      <c r="W61">
        <f>IF((tt-dkyma*$I60)&gt;0,IF((tt-dkyma*$I60)&lt;V$40,yarxi+caera1*SIN(V$38)*(tt-dkyma*$I60),IF(AND((tt-dkyma*$I60)&gt;V$40,(tt-dkyma*$I60)&lt;V$40+W$40),W$25+W$44*((tt-dkyma*$I60)-V$40),W$26+W$48*((tt-dkyma*$I60)-(V$40+W$40)))),yarxi)</f>
        <v>0</v>
      </c>
      <c r="X61">
        <f>IF((tt-dkyma*$I60)&gt;0,IF((tt-dkyma*$I60)&lt;X$40,XARXI2+caera1*COS(X$38)*(tt-dkyma*$I60),IF(AND((tt-dkyma*$I60)&gt;X$40,(tt-dkyma*$I60)&lt;X$40+Y$40),X$25+X$44*((tt-dkyma*$I60)-X$40),X$26+X$48*((tt-dkyma*$I60)-X$40-Y$40))),XARXI2)</f>
        <v>-37</v>
      </c>
      <c r="Y61">
        <f>IF((tt-dkyma*$I60)&gt;0,IF((tt-dkyma*$I60)&lt;X$40,yarxi+caera1*SIN(X$38)*(tt-dkyma*$I60),IF(AND((tt-dkyma*$I60)&gt;X$40,(tt-dkyma*$I60)&lt;X$40+Y$40),Y$25+Y$44*((tt-dkyma*$I60)-X$40),Y$26+Y$48*((tt-dkyma*$I60)-(X$40+Y$40)))),yarxi)</f>
        <v>0</v>
      </c>
      <c r="Z61">
        <f>IF((tt-dkyma*$I60)&gt;0,IF((tt-dkyma*$I60)&lt;Z$40,XARXI2+caera1*COS(Z$38)*(tt-dkyma*$I60),IF(AND((tt-dkyma*$I60)&gt;Z$40,(tt-dkyma*$I60)&lt;Z$40+AA$40),Z$25+Z$44*((tt-dkyma*$I60)-Z$40),Z$26+Z$48*((tt-dkyma*$I60)-Z$40-AA$40))),XARXI2)</f>
        <v>-37</v>
      </c>
      <c r="AA61">
        <f>IF((tt-dkyma*$I60)&gt;0,IF((tt-dkyma*$I60)&lt;Z$40,yarxi+caera1*SIN(Z$38)*(tt-dkyma*$I60),IF(AND((tt-dkyma*$I60)&gt;Z$40,(tt-dkyma*$I60)&lt;Z$40+AA$40),AA$25+AA$44*((tt-dkyma*$I60)-Z$40),AA$26+AA$48*((tt-dkyma*$I60)-(Z$40+AA$40)))),yarxi)</f>
        <v>0</v>
      </c>
      <c r="AS61">
        <f t="shared" si="4"/>
        <v>51</v>
      </c>
      <c r="AT61">
        <f t="shared" si="1"/>
        <v>-4.8999999999999995</v>
      </c>
      <c r="AU61">
        <f t="shared" si="2"/>
        <v>8.7172243288790039</v>
      </c>
      <c r="AV61">
        <f t="shared" si="3"/>
        <v>-8.7172243288790039</v>
      </c>
    </row>
    <row r="62" spans="1:68" x14ac:dyDescent="0.25">
      <c r="A62" t="s">
        <v>107</v>
      </c>
      <c r="I62">
        <f>I60+1</f>
        <v>6</v>
      </c>
      <c r="J62">
        <f>IF((tt-dkyma*$I62)&gt;0,IF(((tt-dkyma*$I62))&lt;J$39,XARXI2+caera1*COS(J$21)*((tt-dkyma*$I62)),IF(AND(((tt-dkyma*$I62))&gt;JIF$39,((tt-dkyma*$I62))&lt;J$39+K$39),J$8+J$43*(((tt-dkyma*$I62))-J$39),J$9+J$47*(((tt-dkyma*$I62))-J$39-K$39))),XARXI2)</f>
        <v>-37</v>
      </c>
      <c r="K62">
        <f>IF((tt-dkyma*$I62)&gt;0,IF((tt-dkyma*$I62)&lt;J$39,yarxi+caera1*SIN(J$21)*(tt-dkyma*$I62),IF(AND((tt-dkyma*$I62)&gt;J$39,(tt-dkyma*$I62)&lt;J$39+K$39),K$8+K$43*((tt-dkyma*$I62)-J$39),K$9+K$47*((tt-dkyma*$I62)-(J$39+K$39)))),yarxi)</f>
        <v>0</v>
      </c>
      <c r="L62">
        <f>IF((tt-dkyma*$I62)&gt;0,IF(((tt-dkyma*$I62))&lt;L$39,XARXI2+caera1*COS(L$21)*((tt-dkyma*$I62)),IF(AND(((tt-dkyma*$I62))&gt;JIH$39,((tt-dkyma*$I62))&lt;L$39+M$39),L$8+L$43*(((tt-dkyma*$I62))-L$39),L$9+L$47*(((tt-dkyma*$I62))-L$39-M$39))),XARXI2)</f>
        <v>-37</v>
      </c>
      <c r="M62">
        <f>IF((tt-dkyma*$I62)&gt;0,IF((tt-dkyma*$I62)&lt;L$39,yarxi+caera1*SIN(L$21)*(tt-dkyma*$I62),IF(AND((tt-dkyma*$I62)&gt;L$39,(tt-dkyma*$I62)&lt;L$39+M$39),M$8+M$43*((tt-dkyma*$I62)-L$39),M$9+M$47*((tt-dkyma*$I62)-(L$39+M$39)))),yarxi)</f>
        <v>0</v>
      </c>
      <c r="N62">
        <f>IF((tt-dkyma*$I62)&gt;0,IF(((tt-dkyma*$I62))&lt;N$39,XARXI2+caera1*COS(N$21)*((tt-dkyma*$I62)),IF(AND(((tt-dkyma*$I62))&gt;JIJ$39,((tt-dkyma*$I62))&lt;N$39+O$39),N$8+N$43*(((tt-dkyma*$I62))-N$39),N$9+N$47*(((tt-dkyma*$I62))-N$39-O$39))),XARXI2)</f>
        <v>-37</v>
      </c>
      <c r="O62">
        <f>IF((tt-dkyma*$I62)&gt;0,IF((tt-dkyma*$I62)&lt;N$39,yarxi+caera1*SIN(N$21)*(tt-dkyma*$I62),IF(AND((tt-dkyma*$I62)&gt;N$39,(tt-dkyma*$I62)&lt;N$39+O$39),O$8+O$43*((tt-dkyma*$I62)-N$39),O$9+O$47*((tt-dkyma*$I62)-(N$39+O$39)))),yarxi)</f>
        <v>0</v>
      </c>
      <c r="P62">
        <f>IF((tt-dkyma*$I62)&gt;0,IF(((tt-dkyma*$I62))&lt;P$39,XARXI2+caera1*COS(P$21)*((tt-dkyma*$I62)),IF(AND(((tt-dkyma*$I62))&gt;JIL$39,((tt-dkyma*$I62))&lt;P$39+Q$39),P$8+P$43*(((tt-dkyma*$I62))-P$39),P$9+P$47*(((tt-dkyma*$I62))-P$39-Q$39))),XARXI2)</f>
        <v>-37</v>
      </c>
      <c r="Q62">
        <f>IF((tt-dkyma*$I62)&gt;0,IF((tt-dkyma*$I62)&lt;P$39,yarxi+caera1*SIN(P$21)*(tt-dkyma*$I62),IF(AND((tt-dkyma*$I62)&gt;P$39,(tt-dkyma*$I62)&lt;P$39+Q$39),Q$8+Q$43*((tt-dkyma*$I62)-P$39),Q$9+Q$47*((tt-dkyma*$I62)-(P$39+Q$39)))),yarxi)</f>
        <v>0</v>
      </c>
      <c r="R62">
        <f>IF((tt-dkyma*$I62)&gt;0,IF(((tt-dkyma*$I62))&lt;R$39,XARXI2+caera1*COS(R$21)*((tt-dkyma*$I62)),IF(AND(((tt-dkyma*$I62))&gt;JIN$39,((tt-dkyma*$I62))&lt;R$39+S$39),R$8+R$43*(((tt-dkyma*$I62))-R$39),R$9+R$47*(((tt-dkyma*$I62))-R$39-S$39))),XARXI2)</f>
        <v>-37</v>
      </c>
      <c r="S62">
        <f>IF((tt-dkyma*$I62)&gt;0,IF((tt-dkyma*$I62)&lt;R$39,yarxi+caera1*SIN(R$21)*(tt-dkyma*$I62),IF(AND((tt-dkyma*$I62)&gt;R$39,(tt-dkyma*$I62)&lt;R$39+S$39),S$8+S$43*((tt-dkyma*$I62)-R$39),S$9+S$47*((tt-dkyma*$I62)-(R$39+S$39)))),yarxi)</f>
        <v>0</v>
      </c>
      <c r="T62">
        <f>IF((tt-dkyma*$I62)&gt;0,IF(((tt-dkyma*$I62))&lt;T$39,XARXI2+caera1*COS(T$21)*((tt-dkyma*$I62)),IF(AND(((tt-dkyma*$I62))&gt;JIP$39,((tt-dkyma*$I62))&lt;T$39+U$39),T$8+T$43*(((tt-dkyma*$I62))-T$39),T$9+T$47*(((tt-dkyma*$I62))-T$39-U$39))),XARXI2)</f>
        <v>-37</v>
      </c>
      <c r="U62">
        <f>IF((tt-dkyma*$I62)&gt;0,IF((tt-dkyma*$I62)&lt;T$39,yarxi+caera1*SIN(T$21)*(tt-dkyma*$I62),IF(AND((tt-dkyma*$I62)&gt;T$39,(tt-dkyma*$I62)&lt;T$39+U$39),U$8+U$43*((tt-dkyma*$I62)-T$39),U$9+U$47*((tt-dkyma*$I62)-(T$39+U$39)))),yarxi)</f>
        <v>0</v>
      </c>
      <c r="V62">
        <f>IF((tt-dkyma*$I62)&gt;0,IF(((tt-dkyma*$I62))&lt;V$39,XARXI2+caera1*COS(V$21)*((tt-dkyma*$I62)),IF(AND(((tt-dkyma*$I62))&gt;JIR$39,((tt-dkyma*$I62))&lt;V$39+W$39),V$8+V$43*(((tt-dkyma*$I62))-V$39),V$9+V$47*(((tt-dkyma*$I62))-V$39-W$39))),XARXI2)</f>
        <v>-37</v>
      </c>
      <c r="W62">
        <f>IF((tt-dkyma*$I62)&gt;0,IF((tt-dkyma*$I62)&lt;V$39,yarxi+caera1*SIN(V$21)*(tt-dkyma*$I62),IF(AND((tt-dkyma*$I62)&gt;V$39,(tt-dkyma*$I62)&lt;V$39+W$39),W$8+W$43*((tt-dkyma*$I62)-V$39),W$9+W$47*((tt-dkyma*$I62)-(V$39+W$39)))),yarxi)</f>
        <v>0</v>
      </c>
      <c r="X62">
        <f>IF((tt-dkyma*$I62)&gt;0,IF(((tt-dkyma*$I62))&lt;X$39,XARXI2+caera1*COS(X$21)*((tt-dkyma*$I62)),IF(AND(((tt-dkyma*$I62))&gt;JIT$39,((tt-dkyma*$I62))&lt;X$39+Y$39),X$8+X$43*(((tt-dkyma*$I62))-X$39),X$9+X$47*(((tt-dkyma*$I62))-X$39-Y$39))),XARXI2)</f>
        <v>-37</v>
      </c>
      <c r="Y62">
        <f>IF((tt-dkyma*$I62)&gt;0,IF((tt-dkyma*$I62)&lt;X$39,yarxi+caera1*SIN(X$21)*(tt-dkyma*$I62),IF(AND((tt-dkyma*$I62)&gt;X$39,(tt-dkyma*$I62)&lt;X$39+Y$39),Y$8+Y$43*((tt-dkyma*$I62)-X$39),Y$9+Y$47*((tt-dkyma*$I62)-(X$39+Y$39)))),yarxi)</f>
        <v>0</v>
      </c>
      <c r="Z62">
        <f>IF((tt-dkyma*$I62)&gt;0,IF(((tt-dkyma*$I62))&lt;Z$39,XARXI2+caera1*COS(Z$21)*((tt-dkyma*$I62)),IF(AND(((tt-dkyma*$I62))&gt;JIV$39,((tt-dkyma*$I62))&lt;Z$39+AA$39),Z$8+Z$43*(((tt-dkyma*$I62))-Z$39),Z$9+Z$47*(((tt-dkyma*$I62))-Z$39-AA$39))),XARXI2)</f>
        <v>-37</v>
      </c>
      <c r="AA62">
        <f>IF((tt-dkyma*$I62)&gt;0,IF((tt-dkyma*$I62)&lt;Z$39,yarxi+caera1*SIN(Z$21)*(tt-dkyma*$I62),IF(AND((tt-dkyma*$I62)&gt;Z$39,(tt-dkyma*$I62)&lt;Z$39+AA$39),AA$8+AA$43*((tt-dkyma*$I62)-Z$39),AA$9+AA$47*((tt-dkyma*$I62)-(Z$39+AA$39)))),yarxi)</f>
        <v>0</v>
      </c>
      <c r="AB62">
        <f>IF((tt-dkyma*$I62)&gt;0,IF(((tt-dkyma*$I62))&lt;AB$39,XARXI2+caera1*COS(AB$21)*((tt-dkyma*$I62)),IF(AND(((tt-dkyma*$I62))&gt;AB$39,((tt-dkyma*$I62))&lt;AB$39+AC$39),AB$8+AB$43*(((tt-dkyma*$I62))-AB$39),AB$9+AB$47*(((tt-dkyma*$I62))-AB$39-AC$39))),XARXI2)</f>
        <v>-37</v>
      </c>
      <c r="AC62">
        <f>IF((tt-dkyma*$I62)&gt;0,IF((tt-dkyma*$I62)&lt;AB$39,yarxi+caera1*SIN(AB$21)*(tt-dkyma*$I62),IF(AND((tt-dkyma*$I62)&gt;AB$39,(tt-dkyma*$I62)&lt;AB$39+AC$39),AC$8+AC$43*((tt-dkyma*$I62)-AB$39),AC$9+AC$47*((tt-dkyma*$I62)-(AB$39+AC$39)))),yarxi)</f>
        <v>0</v>
      </c>
      <c r="AS62">
        <f t="shared" si="4"/>
        <v>52</v>
      </c>
      <c r="AT62">
        <f t="shared" si="1"/>
        <v>-4.8</v>
      </c>
      <c r="AU62">
        <f t="shared" si="2"/>
        <v>8.7726848797845243</v>
      </c>
      <c r="AV62">
        <f t="shared" si="3"/>
        <v>-8.7726848797845243</v>
      </c>
    </row>
    <row r="63" spans="1:68" x14ac:dyDescent="0.25">
      <c r="A63" t="s">
        <v>108</v>
      </c>
      <c r="B63">
        <f>-RCYCLE2/3</f>
        <v>-3.3333333333333335</v>
      </c>
      <c r="D63">
        <f>x_pigis2</f>
        <v>-36.994364720786479</v>
      </c>
      <c r="E63">
        <f>y_pigis2</f>
        <v>0.64573903817948997</v>
      </c>
      <c r="F63" t="s">
        <v>112</v>
      </c>
      <c r="I63">
        <f>I62</f>
        <v>6</v>
      </c>
      <c r="J63">
        <f>IF((tt-dkyma*$I62)&gt;0,IF((tt-dkyma*$I62)&lt;J$40,XARXI2+caera1*COS(J$38)*(tt-dkyma*$I62),IF(AND((tt-dkyma*$I62)&gt;J$40,(tt-dkyma*$I62)&lt;J$40+K$40),J$25+J$44*((tt-dkyma*$I62)-J$40),J$26+J$48*((tt-dkyma*$I62)-J$40-K$40))),XARXI2)</f>
        <v>-37</v>
      </c>
      <c r="K63">
        <f>IF((tt-dkyma*$I62)&gt;0,IF((tt-dkyma*$I62)&lt;J$40,yarxi+caera1*SIN(J$38)*(tt-dkyma*$I62),IF(AND((tt-dkyma*$I62)&gt;J$40,(tt-dkyma*$I62)&lt;J$40+K$40),K$25+K$44*((tt-dkyma*$I62)-J$40),K$26+K$48*((tt-dkyma*$I62)-(J$40+K$40)))),yarxi)</f>
        <v>0</v>
      </c>
      <c r="L63">
        <f>IF((tt-dkyma*$I62)&gt;0,IF((tt-dkyma*$I62)&lt;L$40,XARXI2+caera1*COS(L$38)*(tt-dkyma*$I62),IF(AND((tt-dkyma*$I62)&gt;L$40,(tt-dkyma*$I62)&lt;L$40+M$40),L$25+L$44*((tt-dkyma*$I62)-L$40),L$26+L$48*((tt-dkyma*$I62)-L$40-M$40))),XARXI2)</f>
        <v>-37</v>
      </c>
      <c r="M63">
        <f>IF((tt-dkyma*$I62)&gt;0,IF((tt-dkyma*$I62)&lt;L$40,yarxi+caera1*SIN(L$38)*(tt-dkyma*$I62),IF(AND((tt-dkyma*$I62)&gt;L$40,(tt-dkyma*$I62)&lt;L$40+M$40),M$25+M$44*((tt-dkyma*$I62)-L$40),M$26+M$48*((tt-dkyma*$I62)-(L$40+M$40)))),yarxi)</f>
        <v>0</v>
      </c>
      <c r="N63">
        <f>IF((tt-dkyma*$I62)&gt;0,IF((tt-dkyma*$I62)&lt;N$40,XARXI2+caera1*COS(N$38)*(tt-dkyma*$I62),IF(AND((tt-dkyma*$I62)&gt;N$40,(tt-dkyma*$I62)&lt;N$40+O$40),N$25+N$44*((tt-dkyma*$I62)-N$40),N$26+N$48*((tt-dkyma*$I62)-N$40-O$40))),XARXI2)</f>
        <v>-37</v>
      </c>
      <c r="O63">
        <f>IF((tt-dkyma*$I62)&gt;0,IF((tt-dkyma*$I62)&lt;N$40,yarxi+caera1*SIN(N$38)*(tt-dkyma*$I62),IF(AND((tt-dkyma*$I62)&gt;N$40,(tt-dkyma*$I62)&lt;N$40+O$40),O$25+O$44*((tt-dkyma*$I62)-N$40),O$26+O$48*((tt-dkyma*$I62)-(N$40+O$40)))),yarxi)</f>
        <v>0</v>
      </c>
      <c r="P63">
        <f>IF((tt-dkyma*$I62)&gt;0,IF((tt-dkyma*$I62)&lt;P$40,XARXI2+caera1*COS(P$38)*(tt-dkyma*$I62),IF(AND((tt-dkyma*$I62)&gt;P$40,(tt-dkyma*$I62)&lt;P$40+Q$40),P$25+P$44*((tt-dkyma*$I62)-P$40),P$26+P$48*((tt-dkyma*$I62)-P$40-Q$40))),XARXI2)</f>
        <v>-37</v>
      </c>
      <c r="Q63">
        <f>IF((tt-dkyma*$I62)&gt;0,IF((tt-dkyma*$I62)&lt;P$40,yarxi+caera1*SIN(P$38)*(tt-dkyma*$I62),IF(AND((tt-dkyma*$I62)&gt;P$40,(tt-dkyma*$I62)&lt;P$40+Q$40),Q$25+Q$44*((tt-dkyma*$I62)-P$40),Q$26+Q$48*((tt-dkyma*$I62)-(P$40+Q$40)))),yarxi)</f>
        <v>0</v>
      </c>
      <c r="R63">
        <f>IF((tt-dkyma*$I62)&gt;0,IF((tt-dkyma*$I62)&lt;R$40,XARXI2+caera1*COS(R$38)*(tt-dkyma*$I62),IF(AND((tt-dkyma*$I62)&gt;R$40,(tt-dkyma*$I62)&lt;R$40+S$40),R$25+R$44*((tt-dkyma*$I62)-R$40),R$26+R$48*((tt-dkyma*$I62)-R$40-S$40))),XARXI2)</f>
        <v>-37</v>
      </c>
      <c r="S63">
        <f>IF((tt-dkyma*$I62)&gt;0,IF((tt-dkyma*$I62)&lt;R$40,yarxi+caera1*SIN(R$38)*(tt-dkyma*$I62),IF(AND((tt-dkyma*$I62)&gt;R$40,(tt-dkyma*$I62)&lt;R$40+S$40),S$25+S$44*((tt-dkyma*$I62)-R$40),S$26+S$48*((tt-dkyma*$I62)-(R$40+S$40)))),yarxi)</f>
        <v>0</v>
      </c>
      <c r="T63">
        <f>IF((tt-dkyma*$I62)&gt;0,IF((tt-dkyma*$I62)&lt;T$40,XARXI2+caera1*COS(T$38)*(tt-dkyma*$I62),IF(AND((tt-dkyma*$I62)&gt;T$40,(tt-dkyma*$I62)&lt;T$40+U$40),T$25+T$44*((tt-dkyma*$I62)-T$40),T$26+T$48*((tt-dkyma*$I62)-T$40-U$40))),XARXI2)</f>
        <v>-37</v>
      </c>
      <c r="U63">
        <f>IF((tt-dkyma*$I62)&gt;0,IF((tt-dkyma*$I62)&lt;T$40,yarxi+caera1*SIN(T$38)*(tt-dkyma*$I62),IF(AND((tt-dkyma*$I62)&gt;T$40,(tt-dkyma*$I62)&lt;T$40+U$40),U$25+U$44*((tt-dkyma*$I62)-T$40),U$26+U$48*((tt-dkyma*$I62)-(T$40+U$40)))),yarxi)</f>
        <v>0</v>
      </c>
      <c r="V63">
        <f>IF((tt-dkyma*$I62)&gt;0,IF((tt-dkyma*$I62)&lt;V$40,XARXI2+caera1*COS(V$38)*(tt-dkyma*$I62),IF(AND((tt-dkyma*$I62)&gt;V$40,(tt-dkyma*$I62)&lt;V$40+W$40),V$25+V$44*((tt-dkyma*$I62)-V$40),V$26+V$48*((tt-dkyma*$I62)-V$40-W$40))),XARXI2)</f>
        <v>-37</v>
      </c>
      <c r="W63">
        <f>IF((tt-dkyma*$I62)&gt;0,IF((tt-dkyma*$I62)&lt;V$40,yarxi+caera1*SIN(V$38)*(tt-dkyma*$I62),IF(AND((tt-dkyma*$I62)&gt;V$40,(tt-dkyma*$I62)&lt;V$40+W$40),W$25+W$44*((tt-dkyma*$I62)-V$40),W$26+W$48*((tt-dkyma*$I62)-(V$40+W$40)))),yarxi)</f>
        <v>0</v>
      </c>
      <c r="X63">
        <f>IF((tt-dkyma*$I62)&gt;0,IF((tt-dkyma*$I62)&lt;X$40,XARXI2+caera1*COS(X$38)*(tt-dkyma*$I62),IF(AND((tt-dkyma*$I62)&gt;X$40,(tt-dkyma*$I62)&lt;X$40+Y$40),X$25+X$44*((tt-dkyma*$I62)-X$40),X$26+X$48*((tt-dkyma*$I62)-X$40-Y$40))),XARXI2)</f>
        <v>-37</v>
      </c>
      <c r="Y63">
        <f>IF((tt-dkyma*$I62)&gt;0,IF((tt-dkyma*$I62)&lt;X$40,yarxi+caera1*SIN(X$38)*(tt-dkyma*$I62),IF(AND((tt-dkyma*$I62)&gt;X$40,(tt-dkyma*$I62)&lt;X$40+Y$40),Y$25+Y$44*((tt-dkyma*$I62)-X$40),Y$26+Y$48*((tt-dkyma*$I62)-(X$40+Y$40)))),yarxi)</f>
        <v>0</v>
      </c>
      <c r="Z63">
        <f>IF((tt-dkyma*$I62)&gt;0,IF((tt-dkyma*$I62)&lt;Z$40,XARXI2+caera1*COS(Z$38)*(tt-dkyma*$I62),IF(AND((tt-dkyma*$I62)&gt;Z$40,(tt-dkyma*$I62)&lt;Z$40+AA$40),Z$25+Z$44*((tt-dkyma*$I62)-Z$40),Z$26+Z$48*((tt-dkyma*$I62)-Z$40-AA$40))),XARXI2)</f>
        <v>-37</v>
      </c>
      <c r="AA63">
        <f>IF((tt-dkyma*$I62)&gt;0,IF((tt-dkyma*$I62)&lt;Z$40,yarxi+caera1*SIN(Z$38)*(tt-dkyma*$I62),IF(AND((tt-dkyma*$I62)&gt;Z$40,(tt-dkyma*$I62)&lt;Z$40+AA$40),AA$25+AA$44*((tt-dkyma*$I62)-Z$40),AA$26+AA$48*((tt-dkyma*$I62)-(Z$40+AA$40)))),yarxi)</f>
        <v>0</v>
      </c>
      <c r="AS63">
        <f t="shared" si="4"/>
        <v>53</v>
      </c>
      <c r="AT63">
        <f t="shared" si="1"/>
        <v>-4.6999999999999993</v>
      </c>
      <c r="AU63">
        <f t="shared" si="2"/>
        <v>8.8266641490429443</v>
      </c>
      <c r="AV63">
        <f t="shared" si="3"/>
        <v>-8.8266641490429443</v>
      </c>
    </row>
    <row r="64" spans="1:68" x14ac:dyDescent="0.25">
      <c r="D64">
        <f>B66</f>
        <v>3.3333333333333335</v>
      </c>
      <c r="E64">
        <f>E63</f>
        <v>0.64573903817948997</v>
      </c>
      <c r="F64">
        <f>-y_pigis2/(B73-B66)</f>
        <v>-3.7799358332457941E-2</v>
      </c>
      <c r="I64">
        <f>I62+1</f>
        <v>7</v>
      </c>
      <c r="J64">
        <f>IF((tt-dkyma*$I64)&gt;0,IF(((tt-dkyma*$I64))&lt;J$39,XARXI2+caera1*COS(J$21)*((tt-dkyma*$I64)),IF(AND(((tt-dkyma*$I64))&gt;JIF$39,((tt-dkyma*$I64))&lt;J$39+K$39),J$8+J$43*(((tt-dkyma*$I64))-J$39),J$9+J$47*(((tt-dkyma*$I64))-J$39-K$39))),XARXI2)</f>
        <v>-37</v>
      </c>
      <c r="K64">
        <f>IF((tt-dkyma*$I64)&gt;0,IF((tt-dkyma*$I64)&lt;J$39,yarxi+caera1*SIN(J$21)*(tt-dkyma*$I64),IF(AND((tt-dkyma*$I64)&gt;J$39,(tt-dkyma*$I64)&lt;J$39+K$39),K$8+K$43*((tt-dkyma*$I64)-J$39),K$9+K$47*((tt-dkyma*$I64)-(J$39+K$39)))),yarxi)</f>
        <v>0</v>
      </c>
      <c r="L64">
        <f>IF((tt-dkyma*$I64)&gt;0,IF(((tt-dkyma*$I64))&lt;L$39,XARXI2+caera1*COS(L$21)*((tt-dkyma*$I64)),IF(AND(((tt-dkyma*$I64))&gt;JIH$39,((tt-dkyma*$I64))&lt;L$39+M$39),L$8+L$43*(((tt-dkyma*$I64))-L$39),L$9+L$47*(((tt-dkyma*$I64))-L$39-M$39))),XARXI2)</f>
        <v>-37</v>
      </c>
      <c r="M64">
        <f>IF((tt-dkyma*$I64)&gt;0,IF((tt-dkyma*$I64)&lt;L$39,yarxi+caera1*SIN(L$21)*(tt-dkyma*$I64),IF(AND((tt-dkyma*$I64)&gt;L$39,(tt-dkyma*$I64)&lt;L$39+M$39),M$8+M$43*((tt-dkyma*$I64)-L$39),M$9+M$47*((tt-dkyma*$I64)-(L$39+M$39)))),yarxi)</f>
        <v>0</v>
      </c>
      <c r="N64">
        <f>IF((tt-dkyma*$I64)&gt;0,IF(((tt-dkyma*$I64))&lt;N$39,XARXI2+caera1*COS(N$21)*((tt-dkyma*$I64)),IF(AND(((tt-dkyma*$I64))&gt;JIJ$39,((tt-dkyma*$I64))&lt;N$39+O$39),N$8+N$43*(((tt-dkyma*$I64))-N$39),N$9+N$47*(((tt-dkyma*$I64))-N$39-O$39))),XARXI2)</f>
        <v>-37</v>
      </c>
      <c r="O64">
        <f>IF((tt-dkyma*$I64)&gt;0,IF((tt-dkyma*$I64)&lt;N$39,yarxi+caera1*SIN(N$21)*(tt-dkyma*$I64),IF(AND((tt-dkyma*$I64)&gt;N$39,(tt-dkyma*$I64)&lt;N$39+O$39),O$8+O$43*((tt-dkyma*$I64)-N$39),O$9+O$47*((tt-dkyma*$I64)-(N$39+O$39)))),yarxi)</f>
        <v>0</v>
      </c>
      <c r="P64">
        <f>IF((tt-dkyma*$I64)&gt;0,IF(((tt-dkyma*$I64))&lt;P$39,XARXI2+caera1*COS(P$21)*((tt-dkyma*$I64)),IF(AND(((tt-dkyma*$I64))&gt;JIL$39,((tt-dkyma*$I64))&lt;P$39+Q$39),P$8+P$43*(((tt-dkyma*$I64))-P$39),P$9+P$47*(((tt-dkyma*$I64))-P$39-Q$39))),XARXI2)</f>
        <v>-37</v>
      </c>
      <c r="Q64">
        <f>IF((tt-dkyma*$I64)&gt;0,IF((tt-dkyma*$I64)&lt;P$39,yarxi+caera1*SIN(P$21)*(tt-dkyma*$I64),IF(AND((tt-dkyma*$I64)&gt;P$39,(tt-dkyma*$I64)&lt;P$39+Q$39),Q$8+Q$43*((tt-dkyma*$I64)-P$39),Q$9+Q$47*((tt-dkyma*$I64)-(P$39+Q$39)))),yarxi)</f>
        <v>0</v>
      </c>
      <c r="R64">
        <f>IF((tt-dkyma*$I64)&gt;0,IF(((tt-dkyma*$I64))&lt;R$39,XARXI2+caera1*COS(R$21)*((tt-dkyma*$I64)),IF(AND(((tt-dkyma*$I64))&gt;JIN$39,((tt-dkyma*$I64))&lt;R$39+S$39),R$8+R$43*(((tt-dkyma*$I64))-R$39),R$9+R$47*(((tt-dkyma*$I64))-R$39-S$39))),XARXI2)</f>
        <v>-37</v>
      </c>
      <c r="S64">
        <f>IF((tt-dkyma*$I64)&gt;0,IF((tt-dkyma*$I64)&lt;R$39,yarxi+caera1*SIN(R$21)*(tt-dkyma*$I64),IF(AND((tt-dkyma*$I64)&gt;R$39,(tt-dkyma*$I64)&lt;R$39+S$39),S$8+S$43*((tt-dkyma*$I64)-R$39),S$9+S$47*((tt-dkyma*$I64)-(R$39+S$39)))),yarxi)</f>
        <v>0</v>
      </c>
      <c r="T64">
        <f>IF((tt-dkyma*$I64)&gt;0,IF(((tt-dkyma*$I64))&lt;T$39,XARXI2+caera1*COS(T$21)*((tt-dkyma*$I64)),IF(AND(((tt-dkyma*$I64))&gt;JIP$39,((tt-dkyma*$I64))&lt;T$39+U$39),T$8+T$43*(((tt-dkyma*$I64))-T$39),T$9+T$47*(((tt-dkyma*$I64))-T$39-U$39))),XARXI2)</f>
        <v>-37</v>
      </c>
      <c r="U64">
        <f>IF((tt-dkyma*$I64)&gt;0,IF((tt-dkyma*$I64)&lt;T$39,yarxi+caera1*SIN(T$21)*(tt-dkyma*$I64),IF(AND((tt-dkyma*$I64)&gt;T$39,(tt-dkyma*$I64)&lt;T$39+U$39),U$8+U$43*((tt-dkyma*$I64)-T$39),U$9+U$47*((tt-dkyma*$I64)-(T$39+U$39)))),yarxi)</f>
        <v>0</v>
      </c>
      <c r="V64">
        <f>IF((tt-dkyma*$I64)&gt;0,IF(((tt-dkyma*$I64))&lt;V$39,XARXI2+caera1*COS(V$21)*((tt-dkyma*$I64)),IF(AND(((tt-dkyma*$I64))&gt;JIR$39,((tt-dkyma*$I64))&lt;V$39+W$39),V$8+V$43*(((tt-dkyma*$I64))-V$39),V$9+V$47*(((tt-dkyma*$I64))-V$39-W$39))),XARXI2)</f>
        <v>-37</v>
      </c>
      <c r="W64">
        <f>IF((tt-dkyma*$I64)&gt;0,IF((tt-dkyma*$I64)&lt;V$39,yarxi+caera1*SIN(V$21)*(tt-dkyma*$I64),IF(AND((tt-dkyma*$I64)&gt;V$39,(tt-dkyma*$I64)&lt;V$39+W$39),W$8+W$43*((tt-dkyma*$I64)-V$39),W$9+W$47*((tt-dkyma*$I64)-(V$39+W$39)))),yarxi)</f>
        <v>0</v>
      </c>
      <c r="X64">
        <f>IF((tt-dkyma*$I64)&gt;0,IF(((tt-dkyma*$I64))&lt;X$39,XARXI2+caera1*COS(X$21)*((tt-dkyma*$I64)),IF(AND(((tt-dkyma*$I64))&gt;JIT$39,((tt-dkyma*$I64))&lt;X$39+Y$39),X$8+X$43*(((tt-dkyma*$I64))-X$39),X$9+X$47*(((tt-dkyma*$I64))-X$39-Y$39))),XARXI2)</f>
        <v>-37</v>
      </c>
      <c r="Y64">
        <f>IF((tt-dkyma*$I64)&gt;0,IF((tt-dkyma*$I64)&lt;X$39,yarxi+caera1*SIN(X$21)*(tt-dkyma*$I64),IF(AND((tt-dkyma*$I64)&gt;X$39,(tt-dkyma*$I64)&lt;X$39+Y$39),Y$8+Y$43*((tt-dkyma*$I64)-X$39),Y$9+Y$47*((tt-dkyma*$I64)-(X$39+Y$39)))),yarxi)</f>
        <v>0</v>
      </c>
      <c r="Z64">
        <f>IF((tt-dkyma*$I64)&gt;0,IF(((tt-dkyma*$I64))&lt;Z$39,XARXI2+caera1*COS(Z$21)*((tt-dkyma*$I64)),IF(AND(((tt-dkyma*$I64))&gt;JIV$39,((tt-dkyma*$I64))&lt;Z$39+AA$39),Z$8+Z$43*(((tt-dkyma*$I64))-Z$39),Z$9+Z$47*(((tt-dkyma*$I64))-Z$39-AA$39))),XARXI2)</f>
        <v>-37</v>
      </c>
      <c r="AA64">
        <f>IF((tt-dkyma*$I64)&gt;0,IF((tt-dkyma*$I64)&lt;Z$39,yarxi+caera1*SIN(Z$21)*(tt-dkyma*$I64),IF(AND((tt-dkyma*$I64)&gt;Z$39,(tt-dkyma*$I64)&lt;Z$39+AA$39),AA$8+AA$43*((tt-dkyma*$I64)-Z$39),AA$9+AA$47*((tt-dkyma*$I64)-(Z$39+AA$39)))),yarxi)</f>
        <v>0</v>
      </c>
      <c r="AB64">
        <f>IF((tt-dkyma*$I64)&gt;0,IF(((tt-dkyma*$I64))&lt;AB$39,XARXI2+caera1*COS(AB$21)*((tt-dkyma*$I64)),IF(AND(((tt-dkyma*$I64))&gt;AB$39,((tt-dkyma*$I64))&lt;AB$39+AC$39),AB$8+AB$43*(((tt-dkyma*$I64))-AB$39),AB$9+AB$47*(((tt-dkyma*$I64))-AB$39-AC$39))),XARXI2)</f>
        <v>-37</v>
      </c>
      <c r="AC64">
        <f>IF((tt-dkyma*$I64)&gt;0,IF((tt-dkyma*$I64)&lt;AB$39,yarxi+caera1*SIN(AB$21)*(tt-dkyma*$I64),IF(AND((tt-dkyma*$I64)&gt;AB$39,(tt-dkyma*$I64)&lt;AB$39+AC$39),AC$8+AC$43*((tt-dkyma*$I64)-AB$39),AC$9+AC$47*((tt-dkyma*$I64)-(AB$39+AC$39)))),yarxi)</f>
        <v>0</v>
      </c>
      <c r="AS64">
        <f t="shared" si="4"/>
        <v>54</v>
      </c>
      <c r="AT64">
        <f t="shared" si="1"/>
        <v>-4.5999999999999996</v>
      </c>
      <c r="AU64">
        <f t="shared" si="2"/>
        <v>8.8791891521692463</v>
      </c>
      <c r="AV64">
        <f t="shared" si="3"/>
        <v>-8.8791891521692463</v>
      </c>
    </row>
    <row r="65" spans="1:48" x14ac:dyDescent="0.25">
      <c r="D65">
        <f>60</f>
        <v>60</v>
      </c>
      <c r="E65">
        <f>E64+F64*(D65-D64)</f>
        <v>-1.4962246006597932</v>
      </c>
      <c r="I65">
        <f>I64</f>
        <v>7</v>
      </c>
      <c r="J65">
        <f>IF((tt-dkyma*$I64)&gt;0,IF((tt-dkyma*$I64)&lt;J$40,XARXI2+caera1*COS(J$38)*(tt-dkyma*$I64),IF(AND((tt-dkyma*$I64)&gt;J$40,(tt-dkyma*$I64)&lt;J$40+K$40),J$25+J$44*((tt-dkyma*$I64)-J$40),J$26+J$48*((tt-dkyma*$I64)-J$40-K$40))),XARXI2)</f>
        <v>-37</v>
      </c>
      <c r="K65">
        <f>IF((tt-dkyma*$I64)&gt;0,IF((tt-dkyma*$I64)&lt;J$40,yarxi+caera1*SIN(J$38)*(tt-dkyma*$I64),IF(AND((tt-dkyma*$I64)&gt;J$40,(tt-dkyma*$I64)&lt;J$40+K$40),K$25+K$44*((tt-dkyma*$I64)-J$40),K$26+K$48*((tt-dkyma*$I64)-(J$40+K$40)))),yarxi)</f>
        <v>0</v>
      </c>
      <c r="L65">
        <f>IF((tt-dkyma*$I64)&gt;0,IF((tt-dkyma*$I64)&lt;L$40,XARXI2+caera1*COS(L$38)*(tt-dkyma*$I64),IF(AND((tt-dkyma*$I64)&gt;L$40,(tt-dkyma*$I64)&lt;L$40+M$40),L$25+L$44*((tt-dkyma*$I64)-L$40),L$26+L$48*((tt-dkyma*$I64)-L$40-M$40))),XARXI2)</f>
        <v>-37</v>
      </c>
      <c r="M65">
        <f>IF((tt-dkyma*$I64)&gt;0,IF((tt-dkyma*$I64)&lt;L$40,yarxi+caera1*SIN(L$38)*(tt-dkyma*$I64),IF(AND((tt-dkyma*$I64)&gt;L$40,(tt-dkyma*$I64)&lt;L$40+M$40),M$25+M$44*((tt-dkyma*$I64)-L$40),M$26+M$48*((tt-dkyma*$I64)-(L$40+M$40)))),yarxi)</f>
        <v>0</v>
      </c>
      <c r="N65">
        <f>IF((tt-dkyma*$I64)&gt;0,IF((tt-dkyma*$I64)&lt;N$40,XARXI2+caera1*COS(N$38)*(tt-dkyma*$I64),IF(AND((tt-dkyma*$I64)&gt;N$40,(tt-dkyma*$I64)&lt;N$40+O$40),N$25+N$44*((tt-dkyma*$I64)-N$40),N$26+N$48*((tt-dkyma*$I64)-N$40-O$40))),XARXI2)</f>
        <v>-37</v>
      </c>
      <c r="O65">
        <f>IF((tt-dkyma*$I64)&gt;0,IF((tt-dkyma*$I64)&lt;N$40,yarxi+caera1*SIN(N$38)*(tt-dkyma*$I64),IF(AND((tt-dkyma*$I64)&gt;N$40,(tt-dkyma*$I64)&lt;N$40+O$40),O$25+O$44*((tt-dkyma*$I64)-N$40),O$26+O$48*((tt-dkyma*$I64)-(N$40+O$40)))),yarxi)</f>
        <v>0</v>
      </c>
      <c r="P65">
        <f>IF((tt-dkyma*$I64)&gt;0,IF((tt-dkyma*$I64)&lt;P$40,XARXI2+caera1*COS(P$38)*(tt-dkyma*$I64),IF(AND((tt-dkyma*$I64)&gt;P$40,(tt-dkyma*$I64)&lt;P$40+Q$40),P$25+P$44*((tt-dkyma*$I64)-P$40),P$26+P$48*((tt-dkyma*$I64)-P$40-Q$40))),XARXI2)</f>
        <v>-37</v>
      </c>
      <c r="Q65">
        <f>IF((tt-dkyma*$I64)&gt;0,IF((tt-dkyma*$I64)&lt;P$40,yarxi+caera1*SIN(P$38)*(tt-dkyma*$I64),IF(AND((tt-dkyma*$I64)&gt;P$40,(tt-dkyma*$I64)&lt;P$40+Q$40),Q$25+Q$44*((tt-dkyma*$I64)-P$40),Q$26+Q$48*((tt-dkyma*$I64)-(P$40+Q$40)))),yarxi)</f>
        <v>0</v>
      </c>
      <c r="R65">
        <f>IF((tt-dkyma*$I64)&gt;0,IF((tt-dkyma*$I64)&lt;R$40,XARXI2+caera1*COS(R$38)*(tt-dkyma*$I64),IF(AND((tt-dkyma*$I64)&gt;R$40,(tt-dkyma*$I64)&lt;R$40+S$40),R$25+R$44*((tt-dkyma*$I64)-R$40),R$26+R$48*((tt-dkyma*$I64)-R$40-S$40))),XARXI2)</f>
        <v>-37</v>
      </c>
      <c r="S65">
        <f>IF((tt-dkyma*$I64)&gt;0,IF((tt-dkyma*$I64)&lt;R$40,yarxi+caera1*SIN(R$38)*(tt-dkyma*$I64),IF(AND((tt-dkyma*$I64)&gt;R$40,(tt-dkyma*$I64)&lt;R$40+S$40),S$25+S$44*((tt-dkyma*$I64)-R$40),S$26+S$48*((tt-dkyma*$I64)-(R$40+S$40)))),yarxi)</f>
        <v>0</v>
      </c>
      <c r="T65">
        <f>IF((tt-dkyma*$I64)&gt;0,IF((tt-dkyma*$I64)&lt;T$40,XARXI2+caera1*COS(T$38)*(tt-dkyma*$I64),IF(AND((tt-dkyma*$I64)&gt;T$40,(tt-dkyma*$I64)&lt;T$40+U$40),T$25+T$44*((tt-dkyma*$I64)-T$40),T$26+T$48*((tt-dkyma*$I64)-T$40-U$40))),XARXI2)</f>
        <v>-37</v>
      </c>
      <c r="U65">
        <f>IF((tt-dkyma*$I64)&gt;0,IF((tt-dkyma*$I64)&lt;T$40,yarxi+caera1*SIN(T$38)*(tt-dkyma*$I64),IF(AND((tt-dkyma*$I64)&gt;T$40,(tt-dkyma*$I64)&lt;T$40+U$40),U$25+U$44*((tt-dkyma*$I64)-T$40),U$26+U$48*((tt-dkyma*$I64)-(T$40+U$40)))),yarxi)</f>
        <v>0</v>
      </c>
      <c r="V65">
        <f>IF((tt-dkyma*$I64)&gt;0,IF((tt-dkyma*$I64)&lt;V$40,XARXI2+caera1*COS(V$38)*(tt-dkyma*$I64),IF(AND((tt-dkyma*$I64)&gt;V$40,(tt-dkyma*$I64)&lt;V$40+W$40),V$25+V$44*((tt-dkyma*$I64)-V$40),V$26+V$48*((tt-dkyma*$I64)-V$40-W$40))),XARXI2)</f>
        <v>-37</v>
      </c>
      <c r="W65">
        <f>IF((tt-dkyma*$I64)&gt;0,IF((tt-dkyma*$I64)&lt;V$40,yarxi+caera1*SIN(V$38)*(tt-dkyma*$I64),IF(AND((tt-dkyma*$I64)&gt;V$40,(tt-dkyma*$I64)&lt;V$40+W$40),W$25+W$44*((tt-dkyma*$I64)-V$40),W$26+W$48*((tt-dkyma*$I64)-(V$40+W$40)))),yarxi)</f>
        <v>0</v>
      </c>
      <c r="X65">
        <f>IF((tt-dkyma*$I64)&gt;0,IF((tt-dkyma*$I64)&lt;X$40,XARXI2+caera1*COS(X$38)*(tt-dkyma*$I64),IF(AND((tt-dkyma*$I64)&gt;X$40,(tt-dkyma*$I64)&lt;X$40+Y$40),X$25+X$44*((tt-dkyma*$I64)-X$40),X$26+X$48*((tt-dkyma*$I64)-X$40-Y$40))),XARXI2)</f>
        <v>-37</v>
      </c>
      <c r="Y65">
        <f>IF((tt-dkyma*$I64)&gt;0,IF((tt-dkyma*$I64)&lt;X$40,yarxi+caera1*SIN(X$38)*(tt-dkyma*$I64),IF(AND((tt-dkyma*$I64)&gt;X$40,(tt-dkyma*$I64)&lt;X$40+Y$40),Y$25+Y$44*((tt-dkyma*$I64)-X$40),Y$26+Y$48*((tt-dkyma*$I64)-(X$40+Y$40)))),yarxi)</f>
        <v>0</v>
      </c>
      <c r="Z65">
        <f>IF((tt-dkyma*$I64)&gt;0,IF((tt-dkyma*$I64)&lt;Z$40,XARXI2+caera1*COS(Z$38)*(tt-dkyma*$I64),IF(AND((tt-dkyma*$I64)&gt;Z$40,(tt-dkyma*$I64)&lt;Z$40+AA$40),Z$25+Z$44*((tt-dkyma*$I64)-Z$40),Z$26+Z$48*((tt-dkyma*$I64)-Z$40-AA$40))),XARXI2)</f>
        <v>-37</v>
      </c>
      <c r="AA65">
        <f>IF((tt-dkyma*$I64)&gt;0,IF((tt-dkyma*$I64)&lt;Z$40,yarxi+caera1*SIN(Z$38)*(tt-dkyma*$I64),IF(AND((tt-dkyma*$I64)&gt;Z$40,(tt-dkyma*$I64)&lt;Z$40+AA$40),AA$25+AA$44*((tt-dkyma*$I64)-Z$40),AA$26+AA$48*((tt-dkyma*$I64)-(Z$40+AA$40)))),yarxi)</f>
        <v>0</v>
      </c>
      <c r="AS65">
        <f t="shared" si="4"/>
        <v>55</v>
      </c>
      <c r="AT65">
        <f t="shared" si="1"/>
        <v>-4.5</v>
      </c>
      <c r="AU65">
        <f t="shared" si="2"/>
        <v>8.9302855497458751</v>
      </c>
      <c r="AV65">
        <f t="shared" si="3"/>
        <v>-8.9302855497458751</v>
      </c>
    </row>
    <row r="66" spans="1:48" x14ac:dyDescent="0.25">
      <c r="A66" t="s">
        <v>109</v>
      </c>
      <c r="B66">
        <f>RCYCLE2/3</f>
        <v>3.3333333333333335</v>
      </c>
      <c r="I66">
        <f>I64+1</f>
        <v>8</v>
      </c>
      <c r="J66">
        <f>IF((tt-dkyma*$I66)&gt;0,IF(((tt-dkyma*$I66))&lt;J$39,XARXI2+caera1*COS(J$21)*((tt-dkyma*$I66)),IF(AND(((tt-dkyma*$I66))&gt;JIF$39,((tt-dkyma*$I66))&lt;J$39+K$39),J$8+J$43*(((tt-dkyma*$I66))-J$39),J$9+J$47*(((tt-dkyma*$I66))-J$39-K$39))),XARXI2)</f>
        <v>-37</v>
      </c>
      <c r="K66">
        <f>IF((tt-dkyma*$I66)&gt;0,IF((tt-dkyma*$I66)&lt;J$39,yarxi+caera1*SIN(J$21)*(tt-dkyma*$I66),IF(AND((tt-dkyma*$I66)&gt;J$39,(tt-dkyma*$I66)&lt;J$39+K$39),K$8+K$43*((tt-dkyma*$I66)-J$39),K$9+K$47*((tt-dkyma*$I66)-(J$39+K$39)))),yarxi)</f>
        <v>0</v>
      </c>
      <c r="L66">
        <f>IF((tt-dkyma*$I66)&gt;0,IF(((tt-dkyma*$I66))&lt;L$39,XARXI2+caera1*COS(L$21)*((tt-dkyma*$I66)),IF(AND(((tt-dkyma*$I66))&gt;JIH$39,((tt-dkyma*$I66))&lt;L$39+M$39),L$8+L$43*(((tt-dkyma*$I66))-L$39),L$9+L$47*(((tt-dkyma*$I66))-L$39-M$39))),XARXI2)</f>
        <v>-37</v>
      </c>
      <c r="M66">
        <f>IF((tt-dkyma*$I66)&gt;0,IF((tt-dkyma*$I66)&lt;L$39,yarxi+caera1*SIN(L$21)*(tt-dkyma*$I66),IF(AND((tt-dkyma*$I66)&gt;L$39,(tt-dkyma*$I66)&lt;L$39+M$39),M$8+M$43*((tt-dkyma*$I66)-L$39),M$9+M$47*((tt-dkyma*$I66)-(L$39+M$39)))),yarxi)</f>
        <v>0</v>
      </c>
      <c r="N66">
        <f>IF((tt-dkyma*$I66)&gt;0,IF(((tt-dkyma*$I66))&lt;N$39,XARXI2+caera1*COS(N$21)*((tt-dkyma*$I66)),IF(AND(((tt-dkyma*$I66))&gt;JIJ$39,((tt-dkyma*$I66))&lt;N$39+O$39),N$8+N$43*(((tt-dkyma*$I66))-N$39),N$9+N$47*(((tt-dkyma*$I66))-N$39-O$39))),XARXI2)</f>
        <v>-37</v>
      </c>
      <c r="O66">
        <f>IF((tt-dkyma*$I66)&gt;0,IF((tt-dkyma*$I66)&lt;N$39,yarxi+caera1*SIN(N$21)*(tt-dkyma*$I66),IF(AND((tt-dkyma*$I66)&gt;N$39,(tt-dkyma*$I66)&lt;N$39+O$39),O$8+O$43*((tt-dkyma*$I66)-N$39),O$9+O$47*((tt-dkyma*$I66)-(N$39+O$39)))),yarxi)</f>
        <v>0</v>
      </c>
      <c r="P66">
        <f>IF((tt-dkyma*$I66)&gt;0,IF(((tt-dkyma*$I66))&lt;P$39,XARXI2+caera1*COS(P$21)*((tt-dkyma*$I66)),IF(AND(((tt-dkyma*$I66))&gt;JIL$39,((tt-dkyma*$I66))&lt;P$39+Q$39),P$8+P$43*(((tt-dkyma*$I66))-P$39),P$9+P$47*(((tt-dkyma*$I66))-P$39-Q$39))),XARXI2)</f>
        <v>-37</v>
      </c>
      <c r="Q66">
        <f>IF((tt-dkyma*$I66)&gt;0,IF((tt-dkyma*$I66)&lt;P$39,yarxi+caera1*SIN(P$21)*(tt-dkyma*$I66),IF(AND((tt-dkyma*$I66)&gt;P$39,(tt-dkyma*$I66)&lt;P$39+Q$39),Q$8+Q$43*((tt-dkyma*$I66)-P$39),Q$9+Q$47*((tt-dkyma*$I66)-(P$39+Q$39)))),yarxi)</f>
        <v>0</v>
      </c>
      <c r="R66">
        <f>IF((tt-dkyma*$I66)&gt;0,IF(((tt-dkyma*$I66))&lt;R$39,XARXI2+caera1*COS(R$21)*((tt-dkyma*$I66)),IF(AND(((tt-dkyma*$I66))&gt;JIN$39,((tt-dkyma*$I66))&lt;R$39+S$39),R$8+R$43*(((tt-dkyma*$I66))-R$39),R$9+R$47*(((tt-dkyma*$I66))-R$39-S$39))),XARXI2)</f>
        <v>-37</v>
      </c>
      <c r="S66">
        <f>IF((tt-dkyma*$I66)&gt;0,IF((tt-dkyma*$I66)&lt;R$39,yarxi+caera1*SIN(R$21)*(tt-dkyma*$I66),IF(AND((tt-dkyma*$I66)&gt;R$39,(tt-dkyma*$I66)&lt;R$39+S$39),S$8+S$43*((tt-dkyma*$I66)-R$39),S$9+S$47*((tt-dkyma*$I66)-(R$39+S$39)))),yarxi)</f>
        <v>0</v>
      </c>
      <c r="T66">
        <f>IF((tt-dkyma*$I66)&gt;0,IF(((tt-dkyma*$I66))&lt;T$39,XARXI2+caera1*COS(T$21)*((tt-dkyma*$I66)),IF(AND(((tt-dkyma*$I66))&gt;JIP$39,((tt-dkyma*$I66))&lt;T$39+U$39),T$8+T$43*(((tt-dkyma*$I66))-T$39),T$9+T$47*(((tt-dkyma*$I66))-T$39-U$39))),XARXI2)</f>
        <v>-37</v>
      </c>
      <c r="U66">
        <f>IF((tt-dkyma*$I66)&gt;0,IF((tt-dkyma*$I66)&lt;T$39,yarxi+caera1*SIN(T$21)*(tt-dkyma*$I66),IF(AND((tt-dkyma*$I66)&gt;T$39,(tt-dkyma*$I66)&lt;T$39+U$39),U$8+U$43*((tt-dkyma*$I66)-T$39),U$9+U$47*((tt-dkyma*$I66)-(T$39+U$39)))),yarxi)</f>
        <v>0</v>
      </c>
      <c r="V66">
        <f>IF((tt-dkyma*$I66)&gt;0,IF(((tt-dkyma*$I66))&lt;V$39,XARXI2+caera1*COS(V$21)*((tt-dkyma*$I66)),IF(AND(((tt-dkyma*$I66))&gt;JIR$39,((tt-dkyma*$I66))&lt;V$39+W$39),V$8+V$43*(((tt-dkyma*$I66))-V$39),V$9+V$47*(((tt-dkyma*$I66))-V$39-W$39))),XARXI2)</f>
        <v>-37</v>
      </c>
      <c r="W66">
        <f>IF((tt-dkyma*$I66)&gt;0,IF((tt-dkyma*$I66)&lt;V$39,yarxi+caera1*SIN(V$21)*(tt-dkyma*$I66),IF(AND((tt-dkyma*$I66)&gt;V$39,(tt-dkyma*$I66)&lt;V$39+W$39),W$8+W$43*((tt-dkyma*$I66)-V$39),W$9+W$47*((tt-dkyma*$I66)-(V$39+W$39)))),yarxi)</f>
        <v>0</v>
      </c>
      <c r="X66">
        <f>IF((tt-dkyma*$I66)&gt;0,IF(((tt-dkyma*$I66))&lt;X$39,XARXI2+caera1*COS(X$21)*((tt-dkyma*$I66)),IF(AND(((tt-dkyma*$I66))&gt;JIT$39,((tt-dkyma*$I66))&lt;X$39+Y$39),X$8+X$43*(((tt-dkyma*$I66))-X$39),X$9+X$47*(((tt-dkyma*$I66))-X$39-Y$39))),XARXI2)</f>
        <v>-37</v>
      </c>
      <c r="Y66">
        <f>IF((tt-dkyma*$I66)&gt;0,IF((tt-dkyma*$I66)&lt;X$39,yarxi+caera1*SIN(X$21)*(tt-dkyma*$I66),IF(AND((tt-dkyma*$I66)&gt;X$39,(tt-dkyma*$I66)&lt;X$39+Y$39),Y$8+Y$43*((tt-dkyma*$I66)-X$39),Y$9+Y$47*((tt-dkyma*$I66)-(X$39+Y$39)))),yarxi)</f>
        <v>0</v>
      </c>
      <c r="Z66">
        <f>IF((tt-dkyma*$I66)&gt;0,IF(((tt-dkyma*$I66))&lt;Z$39,XARXI2+caera1*COS(Z$21)*((tt-dkyma*$I66)),IF(AND(((tt-dkyma*$I66))&gt;JIV$39,((tt-dkyma*$I66))&lt;Z$39+AA$39),Z$8+Z$43*(((tt-dkyma*$I66))-Z$39),Z$9+Z$47*(((tt-dkyma*$I66))-Z$39-AA$39))),XARXI2)</f>
        <v>-37</v>
      </c>
      <c r="AA66">
        <f>IF((tt-dkyma*$I66)&gt;0,IF((tt-dkyma*$I66)&lt;Z$39,yarxi+caera1*SIN(Z$21)*(tt-dkyma*$I66),IF(AND((tt-dkyma*$I66)&gt;Z$39,(tt-dkyma*$I66)&lt;Z$39+AA$39),AA$8+AA$43*((tt-dkyma*$I66)-Z$39),AA$9+AA$47*((tt-dkyma*$I66)-(Z$39+AA$39)))),yarxi)</f>
        <v>0</v>
      </c>
      <c r="AB66">
        <f>IF((tt-dkyma*$I66)&gt;0,IF(((tt-dkyma*$I66))&lt;AB$39,XARXI2+caera1*COS(AB$21)*((tt-dkyma*$I66)),IF(AND(((tt-dkyma*$I66))&gt;AB$39,((tt-dkyma*$I66))&lt;AB$39+AC$39),AB$8+AB$43*(((tt-dkyma*$I66))-AB$39),AB$9+AB$47*(((tt-dkyma*$I66))-AB$39-AC$39))),XARXI2)</f>
        <v>-37</v>
      </c>
      <c r="AC66">
        <f>IF((tt-dkyma*$I66)&gt;0,IF((tt-dkyma*$I66)&lt;AB$39,yarxi+caera1*SIN(AB$21)*(tt-dkyma*$I66),IF(AND((tt-dkyma*$I66)&gt;AB$39,(tt-dkyma*$I66)&lt;AB$39+AC$39),AC$8+AC$43*((tt-dkyma*$I66)-AB$39),AC$9+AC$47*((tt-dkyma*$I66)-(AB$39+AC$39)))),yarxi)</f>
        <v>0</v>
      </c>
      <c r="AS66">
        <f t="shared" si="4"/>
        <v>56</v>
      </c>
      <c r="AT66">
        <f t="shared" si="1"/>
        <v>-4.3999999999999995</v>
      </c>
      <c r="AU66">
        <f t="shared" si="2"/>
        <v>8.9799777282574595</v>
      </c>
      <c r="AV66">
        <f t="shared" si="3"/>
        <v>-8.9799777282574595</v>
      </c>
    </row>
    <row r="67" spans="1:48" x14ac:dyDescent="0.25">
      <c r="I67">
        <f>I66</f>
        <v>8</v>
      </c>
      <c r="J67">
        <f>IF((tt-dkyma*$I66)&gt;0,IF((tt-dkyma*$I66)&lt;J$40,XARXI2+caera1*COS(J$38)*(tt-dkyma*$I66),IF(AND((tt-dkyma*$I66)&gt;J$40,(tt-dkyma*$I66)&lt;J$40+K$40),J$25+J$44*((tt-dkyma*$I66)-J$40),J$26+J$48*((tt-dkyma*$I66)-J$40-K$40))),XARXI2)</f>
        <v>-37</v>
      </c>
      <c r="K67">
        <f>IF((tt-dkyma*$I66)&gt;0,IF((tt-dkyma*$I66)&lt;J$40,yarxi+caera1*SIN(J$38)*(tt-dkyma*$I66),IF(AND((tt-dkyma*$I66)&gt;J$40,(tt-dkyma*$I66)&lt;J$40+K$40),K$25+K$44*((tt-dkyma*$I66)-J$40),K$26+K$48*((tt-dkyma*$I66)-(J$40+K$40)))),yarxi)</f>
        <v>0</v>
      </c>
      <c r="L67">
        <f>IF((tt-dkyma*$I66)&gt;0,IF((tt-dkyma*$I66)&lt;L$40,XARXI2+caera1*COS(L$38)*(tt-dkyma*$I66),IF(AND((tt-dkyma*$I66)&gt;L$40,(tt-dkyma*$I66)&lt;L$40+M$40),L$25+L$44*((tt-dkyma*$I66)-L$40),L$26+L$48*((tt-dkyma*$I66)-L$40-M$40))),XARXI2)</f>
        <v>-37</v>
      </c>
      <c r="M67">
        <f>IF((tt-dkyma*$I66)&gt;0,IF((tt-dkyma*$I66)&lt;L$40,yarxi+caera1*SIN(L$38)*(tt-dkyma*$I66),IF(AND((tt-dkyma*$I66)&gt;L$40,(tt-dkyma*$I66)&lt;L$40+M$40),M$25+M$44*((tt-dkyma*$I66)-L$40),M$26+M$48*((tt-dkyma*$I66)-(L$40+M$40)))),yarxi)</f>
        <v>0</v>
      </c>
      <c r="N67">
        <f>IF((tt-dkyma*$I66)&gt;0,IF((tt-dkyma*$I66)&lt;N$40,XARXI2+caera1*COS(N$38)*(tt-dkyma*$I66),IF(AND((tt-dkyma*$I66)&gt;N$40,(tt-dkyma*$I66)&lt;N$40+O$40),N$25+N$44*((tt-dkyma*$I66)-N$40),N$26+N$48*((tt-dkyma*$I66)-N$40-O$40))),XARXI2)</f>
        <v>-37</v>
      </c>
      <c r="O67">
        <f>IF((tt-dkyma*$I66)&gt;0,IF((tt-dkyma*$I66)&lt;N$40,yarxi+caera1*SIN(N$38)*(tt-dkyma*$I66),IF(AND((tt-dkyma*$I66)&gt;N$40,(tt-dkyma*$I66)&lt;N$40+O$40),O$25+O$44*((tt-dkyma*$I66)-N$40),O$26+O$48*((tt-dkyma*$I66)-(N$40+O$40)))),yarxi)</f>
        <v>0</v>
      </c>
      <c r="P67">
        <f>IF((tt-dkyma*$I66)&gt;0,IF((tt-dkyma*$I66)&lt;P$40,XARXI2+caera1*COS(P$38)*(tt-dkyma*$I66),IF(AND((tt-dkyma*$I66)&gt;P$40,(tt-dkyma*$I66)&lt;P$40+Q$40),P$25+P$44*((tt-dkyma*$I66)-P$40),P$26+P$48*((tt-dkyma*$I66)-P$40-Q$40))),XARXI2)</f>
        <v>-37</v>
      </c>
      <c r="Q67">
        <f>IF((tt-dkyma*$I66)&gt;0,IF((tt-dkyma*$I66)&lt;P$40,yarxi+caera1*SIN(P$38)*(tt-dkyma*$I66),IF(AND((tt-dkyma*$I66)&gt;P$40,(tt-dkyma*$I66)&lt;P$40+Q$40),Q$25+Q$44*((tt-dkyma*$I66)-P$40),Q$26+Q$48*((tt-dkyma*$I66)-(P$40+Q$40)))),yarxi)</f>
        <v>0</v>
      </c>
      <c r="R67">
        <f>IF((tt-dkyma*$I66)&gt;0,IF((tt-dkyma*$I66)&lt;R$40,XARXI2+caera1*COS(R$38)*(tt-dkyma*$I66),IF(AND((tt-dkyma*$I66)&gt;R$40,(tt-dkyma*$I66)&lt;R$40+S$40),R$25+R$44*((tt-dkyma*$I66)-R$40),R$26+R$48*((tt-dkyma*$I66)-R$40-S$40))),XARXI2)</f>
        <v>-37</v>
      </c>
      <c r="S67">
        <f>IF((tt-dkyma*$I66)&gt;0,IF((tt-dkyma*$I66)&lt;R$40,yarxi+caera1*SIN(R$38)*(tt-dkyma*$I66),IF(AND((tt-dkyma*$I66)&gt;R$40,(tt-dkyma*$I66)&lt;R$40+S$40),S$25+S$44*((tt-dkyma*$I66)-R$40),S$26+S$48*((tt-dkyma*$I66)-(R$40+S$40)))),yarxi)</f>
        <v>0</v>
      </c>
      <c r="T67">
        <f>IF((tt-dkyma*$I66)&gt;0,IF((tt-dkyma*$I66)&lt;T$40,XARXI2+caera1*COS(T$38)*(tt-dkyma*$I66),IF(AND((tt-dkyma*$I66)&gt;T$40,(tt-dkyma*$I66)&lt;T$40+U$40),T$25+T$44*((tt-dkyma*$I66)-T$40),T$26+T$48*((tt-dkyma*$I66)-T$40-U$40))),XARXI2)</f>
        <v>-37</v>
      </c>
      <c r="U67">
        <f>IF((tt-dkyma*$I66)&gt;0,IF((tt-dkyma*$I66)&lt;T$40,yarxi+caera1*SIN(T$38)*(tt-dkyma*$I66),IF(AND((tt-dkyma*$I66)&gt;T$40,(tt-dkyma*$I66)&lt;T$40+U$40),U$25+U$44*((tt-dkyma*$I66)-T$40),U$26+U$48*((tt-dkyma*$I66)-(T$40+U$40)))),yarxi)</f>
        <v>0</v>
      </c>
      <c r="V67">
        <f>IF((tt-dkyma*$I66)&gt;0,IF((tt-dkyma*$I66)&lt;V$40,XARXI2+caera1*COS(V$38)*(tt-dkyma*$I66),IF(AND((tt-dkyma*$I66)&gt;V$40,(tt-dkyma*$I66)&lt;V$40+W$40),V$25+V$44*((tt-dkyma*$I66)-V$40),V$26+V$48*((tt-dkyma*$I66)-V$40-W$40))),XARXI2)</f>
        <v>-37</v>
      </c>
      <c r="W67">
        <f>IF((tt-dkyma*$I66)&gt;0,IF((tt-dkyma*$I66)&lt;V$40,yarxi+caera1*SIN(V$38)*(tt-dkyma*$I66),IF(AND((tt-dkyma*$I66)&gt;V$40,(tt-dkyma*$I66)&lt;V$40+W$40),W$25+W$44*((tt-dkyma*$I66)-V$40),W$26+W$48*((tt-dkyma*$I66)-(V$40+W$40)))),yarxi)</f>
        <v>0</v>
      </c>
      <c r="X67">
        <f>IF((tt-dkyma*$I66)&gt;0,IF((tt-dkyma*$I66)&lt;X$40,XARXI2+caera1*COS(X$38)*(tt-dkyma*$I66),IF(AND((tt-dkyma*$I66)&gt;X$40,(tt-dkyma*$I66)&lt;X$40+Y$40),X$25+X$44*((tt-dkyma*$I66)-X$40),X$26+X$48*((tt-dkyma*$I66)-X$40-Y$40))),XARXI2)</f>
        <v>-37</v>
      </c>
      <c r="Y67">
        <f>IF((tt-dkyma*$I66)&gt;0,IF((tt-dkyma*$I66)&lt;X$40,yarxi+caera1*SIN(X$38)*(tt-dkyma*$I66),IF(AND((tt-dkyma*$I66)&gt;X$40,(tt-dkyma*$I66)&lt;X$40+Y$40),Y$25+Y$44*((tt-dkyma*$I66)-X$40),Y$26+Y$48*((tt-dkyma*$I66)-(X$40+Y$40)))),yarxi)</f>
        <v>0</v>
      </c>
      <c r="Z67">
        <f>IF((tt-dkyma*$I66)&gt;0,IF((tt-dkyma*$I66)&lt;Z$40,XARXI2+caera1*COS(Z$38)*(tt-dkyma*$I66),IF(AND((tt-dkyma*$I66)&gt;Z$40,(tt-dkyma*$I66)&lt;Z$40+AA$40),Z$25+Z$44*((tt-dkyma*$I66)-Z$40),Z$26+Z$48*((tt-dkyma*$I66)-Z$40-AA$40))),XARXI2)</f>
        <v>-37</v>
      </c>
      <c r="AA67">
        <f>IF((tt-dkyma*$I66)&gt;0,IF((tt-dkyma*$I66)&lt;Z$40,yarxi+caera1*SIN(Z$38)*(tt-dkyma*$I66),IF(AND((tt-dkyma*$I66)&gt;Z$40,(tt-dkyma*$I66)&lt;Z$40+AA$40),AA$25+AA$44*((tt-dkyma*$I66)-Z$40),AA$26+AA$48*((tt-dkyma*$I66)-(Z$40+AA$40)))),yarxi)</f>
        <v>0</v>
      </c>
      <c r="AS67">
        <f t="shared" si="4"/>
        <v>57</v>
      </c>
      <c r="AT67">
        <f t="shared" si="1"/>
        <v>-4.3</v>
      </c>
      <c r="AU67">
        <f t="shared" si="2"/>
        <v>9.0282888744213317</v>
      </c>
      <c r="AV67">
        <f t="shared" si="3"/>
        <v>-9.0282888744213317</v>
      </c>
    </row>
    <row r="68" spans="1:48" x14ac:dyDescent="0.25">
      <c r="F68" t="s">
        <v>113</v>
      </c>
      <c r="I68">
        <f>I66+1</f>
        <v>9</v>
      </c>
      <c r="J68">
        <f>IF((tt-dkyma*$I68)&gt;0,IF(((tt-dkyma*$I68))&lt;J$39,XARXI2+caera1*COS(J$21)*((tt-dkyma*$I68)),IF(AND(((tt-dkyma*$I68))&gt;JIF$39,((tt-dkyma*$I68))&lt;J$39+K$39),J$8+J$43*(((tt-dkyma*$I68))-J$39),J$9+J$47*(((tt-dkyma*$I68))-J$39-K$39))),XARXI2)</f>
        <v>-37</v>
      </c>
      <c r="K68">
        <f>IF((tt-dkyma*$I68)&gt;0,IF((tt-dkyma*$I68)&lt;J$39,yarxi+caera1*SIN(J$21)*(tt-dkyma*$I68),IF(AND((tt-dkyma*$I68)&gt;J$39,(tt-dkyma*$I68)&lt;J$39+K$39),K$8+K$43*((tt-dkyma*$I68)-J$39),K$9+K$47*((tt-dkyma*$I68)-(J$39+K$39)))),yarxi)</f>
        <v>0</v>
      </c>
      <c r="L68">
        <f>IF((tt-dkyma*$I68)&gt;0,IF(((tt-dkyma*$I68))&lt;L$39,XARXI2+caera1*COS(L$21)*((tt-dkyma*$I68)),IF(AND(((tt-dkyma*$I68))&gt;JIH$39,((tt-dkyma*$I68))&lt;L$39+M$39),L$8+L$43*(((tt-dkyma*$I68))-L$39),L$9+L$47*(((tt-dkyma*$I68))-L$39-M$39))),XARXI2)</f>
        <v>-37</v>
      </c>
      <c r="M68">
        <f>IF((tt-dkyma*$I68)&gt;0,IF((tt-dkyma*$I68)&lt;L$39,yarxi+caera1*SIN(L$21)*(tt-dkyma*$I68),IF(AND((tt-dkyma*$I68)&gt;L$39,(tt-dkyma*$I68)&lt;L$39+M$39),M$8+M$43*((tt-dkyma*$I68)-L$39),M$9+M$47*((tt-dkyma*$I68)-(L$39+M$39)))),yarxi)</f>
        <v>0</v>
      </c>
      <c r="N68">
        <f>IF((tt-dkyma*$I68)&gt;0,IF(((tt-dkyma*$I68))&lt;N$39,XARXI2+caera1*COS(N$21)*((tt-dkyma*$I68)),IF(AND(((tt-dkyma*$I68))&gt;JIJ$39,((tt-dkyma*$I68))&lt;N$39+O$39),N$8+N$43*(((tt-dkyma*$I68))-N$39),N$9+N$47*(((tt-dkyma*$I68))-N$39-O$39))),XARXI2)</f>
        <v>-37</v>
      </c>
      <c r="O68">
        <f>IF((tt-dkyma*$I68)&gt;0,IF((tt-dkyma*$I68)&lt;N$39,yarxi+caera1*SIN(N$21)*(tt-dkyma*$I68),IF(AND((tt-dkyma*$I68)&gt;N$39,(tt-dkyma*$I68)&lt;N$39+O$39),O$8+O$43*((tt-dkyma*$I68)-N$39),O$9+O$47*((tt-dkyma*$I68)-(N$39+O$39)))),yarxi)</f>
        <v>0</v>
      </c>
      <c r="P68">
        <f>IF((tt-dkyma*$I68)&gt;0,IF(((tt-dkyma*$I68))&lt;P$39,XARXI2+caera1*COS(P$21)*((tt-dkyma*$I68)),IF(AND(((tt-dkyma*$I68))&gt;JIL$39,((tt-dkyma*$I68))&lt;P$39+Q$39),P$8+P$43*(((tt-dkyma*$I68))-P$39),P$9+P$47*(((tt-dkyma*$I68))-P$39-Q$39))),XARXI2)</f>
        <v>-37</v>
      </c>
      <c r="Q68">
        <f>IF((tt-dkyma*$I68)&gt;0,IF((tt-dkyma*$I68)&lt;P$39,yarxi+caera1*SIN(P$21)*(tt-dkyma*$I68),IF(AND((tt-dkyma*$I68)&gt;P$39,(tt-dkyma*$I68)&lt;P$39+Q$39),Q$8+Q$43*((tt-dkyma*$I68)-P$39),Q$9+Q$47*((tt-dkyma*$I68)-(P$39+Q$39)))),yarxi)</f>
        <v>0</v>
      </c>
      <c r="R68">
        <f>IF((tt-dkyma*$I68)&gt;0,IF(((tt-dkyma*$I68))&lt;R$39,XARXI2+caera1*COS(R$21)*((tt-dkyma*$I68)),IF(AND(((tt-dkyma*$I68))&gt;JIN$39,((tt-dkyma*$I68))&lt;R$39+S$39),R$8+R$43*(((tt-dkyma*$I68))-R$39),R$9+R$47*(((tt-dkyma*$I68))-R$39-S$39))),XARXI2)</f>
        <v>-37</v>
      </c>
      <c r="S68">
        <f>IF((tt-dkyma*$I68)&gt;0,IF((tt-dkyma*$I68)&lt;R$39,yarxi+caera1*SIN(R$21)*(tt-dkyma*$I68),IF(AND((tt-dkyma*$I68)&gt;R$39,(tt-dkyma*$I68)&lt;R$39+S$39),S$8+S$43*((tt-dkyma*$I68)-R$39),S$9+S$47*((tt-dkyma*$I68)-(R$39+S$39)))),yarxi)</f>
        <v>0</v>
      </c>
      <c r="T68">
        <f>IF((tt-dkyma*$I68)&gt;0,IF(((tt-dkyma*$I68))&lt;T$39,XARXI2+caera1*COS(T$21)*((tt-dkyma*$I68)),IF(AND(((tt-dkyma*$I68))&gt;JIP$39,((tt-dkyma*$I68))&lt;T$39+U$39),T$8+T$43*(((tt-dkyma*$I68))-T$39),T$9+T$47*(((tt-dkyma*$I68))-T$39-U$39))),XARXI2)</f>
        <v>-37</v>
      </c>
      <c r="U68">
        <f>IF((tt-dkyma*$I68)&gt;0,IF((tt-dkyma*$I68)&lt;T$39,yarxi+caera1*SIN(T$21)*(tt-dkyma*$I68),IF(AND((tt-dkyma*$I68)&gt;T$39,(tt-dkyma*$I68)&lt;T$39+U$39),U$8+U$43*((tt-dkyma*$I68)-T$39),U$9+U$47*((tt-dkyma*$I68)-(T$39+U$39)))),yarxi)</f>
        <v>0</v>
      </c>
      <c r="V68">
        <f>IF((tt-dkyma*$I68)&gt;0,IF(((tt-dkyma*$I68))&lt;V$39,XARXI2+caera1*COS(V$21)*((tt-dkyma*$I68)),IF(AND(((tt-dkyma*$I68))&gt;JIR$39,((tt-dkyma*$I68))&lt;V$39+W$39),V$8+V$43*(((tt-dkyma*$I68))-V$39),V$9+V$47*(((tt-dkyma*$I68))-V$39-W$39))),XARXI2)</f>
        <v>-37</v>
      </c>
      <c r="W68">
        <f>IF((tt-dkyma*$I68)&gt;0,IF((tt-dkyma*$I68)&lt;V$39,yarxi+caera1*SIN(V$21)*(tt-dkyma*$I68),IF(AND((tt-dkyma*$I68)&gt;V$39,(tt-dkyma*$I68)&lt;V$39+W$39),W$8+W$43*((tt-dkyma*$I68)-V$39),W$9+W$47*((tt-dkyma*$I68)-(V$39+W$39)))),yarxi)</f>
        <v>0</v>
      </c>
      <c r="X68">
        <f>IF((tt-dkyma*$I68)&gt;0,IF(((tt-dkyma*$I68))&lt;X$39,XARXI2+caera1*COS(X$21)*((tt-dkyma*$I68)),IF(AND(((tt-dkyma*$I68))&gt;JIT$39,((tt-dkyma*$I68))&lt;X$39+Y$39),X$8+X$43*(((tt-dkyma*$I68))-X$39),X$9+X$47*(((tt-dkyma*$I68))-X$39-Y$39))),XARXI2)</f>
        <v>-37</v>
      </c>
      <c r="Y68">
        <f>IF((tt-dkyma*$I68)&gt;0,IF((tt-dkyma*$I68)&lt;X$39,yarxi+caera1*SIN(X$21)*(tt-dkyma*$I68),IF(AND((tt-dkyma*$I68)&gt;X$39,(tt-dkyma*$I68)&lt;X$39+Y$39),Y$8+Y$43*((tt-dkyma*$I68)-X$39),Y$9+Y$47*((tt-dkyma*$I68)-(X$39+Y$39)))),yarxi)</f>
        <v>0</v>
      </c>
      <c r="Z68">
        <f>IF((tt-dkyma*$I68)&gt;0,IF(((tt-dkyma*$I68))&lt;Z$39,XARXI2+caera1*COS(Z$21)*((tt-dkyma*$I68)),IF(AND(((tt-dkyma*$I68))&gt;JIV$39,((tt-dkyma*$I68))&lt;Z$39+AA$39),Z$8+Z$43*(((tt-dkyma*$I68))-Z$39),Z$9+Z$47*(((tt-dkyma*$I68))-Z$39-AA$39))),XARXI2)</f>
        <v>-37</v>
      </c>
      <c r="AA68">
        <f>IF((tt-dkyma*$I68)&gt;0,IF((tt-dkyma*$I68)&lt;Z$39,yarxi+caera1*SIN(Z$21)*(tt-dkyma*$I68),IF(AND((tt-dkyma*$I68)&gt;Z$39,(tt-dkyma*$I68)&lt;Z$39+AA$39),AA$8+AA$43*((tt-dkyma*$I68)-Z$39),AA$9+AA$47*((tt-dkyma*$I68)-(Z$39+AA$39)))),yarxi)</f>
        <v>0</v>
      </c>
      <c r="AB68">
        <f>IF((tt-dkyma*$I68)&gt;0,IF(((tt-dkyma*$I68))&lt;AB$39,XARXI2+caera1*COS(AB$21)*((tt-dkyma*$I68)),IF(AND(((tt-dkyma*$I68))&gt;AB$39,((tt-dkyma*$I68))&lt;AB$39+AC$39),AB$8+AB$43*(((tt-dkyma*$I68))-AB$39),AB$9+AB$47*(((tt-dkyma*$I68))-AB$39-AC$39))),XARXI2)</f>
        <v>-37</v>
      </c>
      <c r="AC68">
        <f>IF((tt-dkyma*$I68)&gt;0,IF((tt-dkyma*$I68)&lt;AB$39,yarxi+caera1*SIN(AB$21)*(tt-dkyma*$I68),IF(AND((tt-dkyma*$I68)&gt;AB$39,(tt-dkyma*$I68)&lt;AB$39+AC$39),AC$8+AC$43*((tt-dkyma*$I68)-AB$39),AC$9+AC$47*((tt-dkyma*$I68)-(AB$39+AC$39)))),yarxi)</f>
        <v>0</v>
      </c>
      <c r="AS68">
        <f t="shared" si="4"/>
        <v>58</v>
      </c>
      <c r="AT68">
        <f t="shared" si="1"/>
        <v>-4.1999999999999993</v>
      </c>
      <c r="AU68">
        <f t="shared" si="2"/>
        <v>9.0752410436307436</v>
      </c>
      <c r="AV68">
        <f t="shared" si="3"/>
        <v>-9.0752410436307436</v>
      </c>
    </row>
    <row r="69" spans="1:48" x14ac:dyDescent="0.25">
      <c r="D69">
        <f>D63</f>
        <v>-36.994364720786479</v>
      </c>
      <c r="E69">
        <f>E63</f>
        <v>0.64573903817948997</v>
      </c>
      <c r="F69">
        <f>-y_pigis2/(B70-x_pigis2)</f>
        <v>-3.8952274077583046E-2</v>
      </c>
      <c r="I69">
        <f>I68</f>
        <v>9</v>
      </c>
      <c r="J69">
        <f>IF((tt-dkyma*$I68)&gt;0,IF((tt-dkyma*$I68)&lt;J$40,XARXI2+caera1*COS(J$38)*(tt-dkyma*$I68),IF(AND((tt-dkyma*$I68)&gt;J$40,(tt-dkyma*$I68)&lt;J$40+K$40),J$25+J$44*((tt-dkyma*$I68)-J$40),J$26+J$48*((tt-dkyma*$I68)-J$40-K$40))),XARXI2)</f>
        <v>-37</v>
      </c>
      <c r="K69">
        <f>IF((tt-dkyma*$I68)&gt;0,IF((tt-dkyma*$I68)&lt;J$40,yarxi+caera1*SIN(J$38)*(tt-dkyma*$I68),IF(AND((tt-dkyma*$I68)&gt;J$40,(tt-dkyma*$I68)&lt;J$40+K$40),K$25+K$44*((tt-dkyma*$I68)-J$40),K$26+K$48*((tt-dkyma*$I68)-(J$40+K$40)))),yarxi)</f>
        <v>0</v>
      </c>
      <c r="L69">
        <f>IF((tt-dkyma*$I68)&gt;0,IF((tt-dkyma*$I68)&lt;L$40,XARXI2+caera1*COS(L$38)*(tt-dkyma*$I68),IF(AND((tt-dkyma*$I68)&gt;L$40,(tt-dkyma*$I68)&lt;L$40+M$40),L$25+L$44*((tt-dkyma*$I68)-L$40),L$26+L$48*((tt-dkyma*$I68)-L$40-M$40))),XARXI2)</f>
        <v>-37</v>
      </c>
      <c r="M69">
        <f>IF((tt-dkyma*$I68)&gt;0,IF((tt-dkyma*$I68)&lt;L$40,yarxi+caera1*SIN(L$38)*(tt-dkyma*$I68),IF(AND((tt-dkyma*$I68)&gt;L$40,(tt-dkyma*$I68)&lt;L$40+M$40),M$25+M$44*((tt-dkyma*$I68)-L$40),M$26+M$48*((tt-dkyma*$I68)-(L$40+M$40)))),yarxi)</f>
        <v>0</v>
      </c>
      <c r="N69">
        <f>IF((tt-dkyma*$I68)&gt;0,IF((tt-dkyma*$I68)&lt;N$40,XARXI2+caera1*COS(N$38)*(tt-dkyma*$I68),IF(AND((tt-dkyma*$I68)&gt;N$40,(tt-dkyma*$I68)&lt;N$40+O$40),N$25+N$44*((tt-dkyma*$I68)-N$40),N$26+N$48*((tt-dkyma*$I68)-N$40-O$40))),XARXI2)</f>
        <v>-37</v>
      </c>
      <c r="O69">
        <f>IF((tt-dkyma*$I68)&gt;0,IF((tt-dkyma*$I68)&lt;N$40,yarxi+caera1*SIN(N$38)*(tt-dkyma*$I68),IF(AND((tt-dkyma*$I68)&gt;N$40,(tt-dkyma*$I68)&lt;N$40+O$40),O$25+O$44*((tt-dkyma*$I68)-N$40),O$26+O$48*((tt-dkyma*$I68)-(N$40+O$40)))),yarxi)</f>
        <v>0</v>
      </c>
      <c r="P69">
        <f>IF((tt-dkyma*$I68)&gt;0,IF((tt-dkyma*$I68)&lt;P$40,XARXI2+caera1*COS(P$38)*(tt-dkyma*$I68),IF(AND((tt-dkyma*$I68)&gt;P$40,(tt-dkyma*$I68)&lt;P$40+Q$40),P$25+P$44*((tt-dkyma*$I68)-P$40),P$26+P$48*((tt-dkyma*$I68)-P$40-Q$40))),XARXI2)</f>
        <v>-37</v>
      </c>
      <c r="Q69">
        <f>IF((tt-dkyma*$I68)&gt;0,IF((tt-dkyma*$I68)&lt;P$40,yarxi+caera1*SIN(P$38)*(tt-dkyma*$I68),IF(AND((tt-dkyma*$I68)&gt;P$40,(tt-dkyma*$I68)&lt;P$40+Q$40),Q$25+Q$44*((tt-dkyma*$I68)-P$40),Q$26+Q$48*((tt-dkyma*$I68)-(P$40+Q$40)))),yarxi)</f>
        <v>0</v>
      </c>
      <c r="R69">
        <f>IF((tt-dkyma*$I68)&gt;0,IF((tt-dkyma*$I68)&lt;R$40,XARXI2+caera1*COS(R$38)*(tt-dkyma*$I68),IF(AND((tt-dkyma*$I68)&gt;R$40,(tt-dkyma*$I68)&lt;R$40+S$40),R$25+R$44*((tt-dkyma*$I68)-R$40),R$26+R$48*((tt-dkyma*$I68)-R$40-S$40))),XARXI2)</f>
        <v>-37</v>
      </c>
      <c r="S69">
        <f>IF((tt-dkyma*$I68)&gt;0,IF((tt-dkyma*$I68)&lt;R$40,yarxi+caera1*SIN(R$38)*(tt-dkyma*$I68),IF(AND((tt-dkyma*$I68)&gt;R$40,(tt-dkyma*$I68)&lt;R$40+S$40),S$25+S$44*((tt-dkyma*$I68)-R$40),S$26+S$48*((tt-dkyma*$I68)-(R$40+S$40)))),yarxi)</f>
        <v>0</v>
      </c>
      <c r="T69">
        <f>IF((tt-dkyma*$I68)&gt;0,IF((tt-dkyma*$I68)&lt;T$40,XARXI2+caera1*COS(T$38)*(tt-dkyma*$I68),IF(AND((tt-dkyma*$I68)&gt;T$40,(tt-dkyma*$I68)&lt;T$40+U$40),T$25+T$44*((tt-dkyma*$I68)-T$40),T$26+T$48*((tt-dkyma*$I68)-T$40-U$40))),XARXI2)</f>
        <v>-37</v>
      </c>
      <c r="U69">
        <f>IF((tt-dkyma*$I68)&gt;0,IF((tt-dkyma*$I68)&lt;T$40,yarxi+caera1*SIN(T$38)*(tt-dkyma*$I68),IF(AND((tt-dkyma*$I68)&gt;T$40,(tt-dkyma*$I68)&lt;T$40+U$40),U$25+U$44*((tt-dkyma*$I68)-T$40),U$26+U$48*((tt-dkyma*$I68)-(T$40+U$40)))),yarxi)</f>
        <v>0</v>
      </c>
      <c r="V69">
        <f>IF((tt-dkyma*$I68)&gt;0,IF((tt-dkyma*$I68)&lt;V$40,XARXI2+caera1*COS(V$38)*(tt-dkyma*$I68),IF(AND((tt-dkyma*$I68)&gt;V$40,(tt-dkyma*$I68)&lt;V$40+W$40),V$25+V$44*((tt-dkyma*$I68)-V$40),V$26+V$48*((tt-dkyma*$I68)-V$40-W$40))),XARXI2)</f>
        <v>-37</v>
      </c>
      <c r="W69">
        <f>IF((tt-dkyma*$I68)&gt;0,IF((tt-dkyma*$I68)&lt;V$40,yarxi+caera1*SIN(V$38)*(tt-dkyma*$I68),IF(AND((tt-dkyma*$I68)&gt;V$40,(tt-dkyma*$I68)&lt;V$40+W$40),W$25+W$44*((tt-dkyma*$I68)-V$40),W$26+W$48*((tt-dkyma*$I68)-(V$40+W$40)))),yarxi)</f>
        <v>0</v>
      </c>
      <c r="X69">
        <f>IF((tt-dkyma*$I68)&gt;0,IF((tt-dkyma*$I68)&lt;X$40,XARXI2+caera1*COS(X$38)*(tt-dkyma*$I68),IF(AND((tt-dkyma*$I68)&gt;X$40,(tt-dkyma*$I68)&lt;X$40+Y$40),X$25+X$44*((tt-dkyma*$I68)-X$40),X$26+X$48*((tt-dkyma*$I68)-X$40-Y$40))),XARXI2)</f>
        <v>-37</v>
      </c>
      <c r="Y69">
        <f>IF((tt-dkyma*$I68)&gt;0,IF((tt-dkyma*$I68)&lt;X$40,yarxi+caera1*SIN(X$38)*(tt-dkyma*$I68),IF(AND((tt-dkyma*$I68)&gt;X$40,(tt-dkyma*$I68)&lt;X$40+Y$40),Y$25+Y$44*((tt-dkyma*$I68)-X$40),Y$26+Y$48*((tt-dkyma*$I68)-(X$40+Y$40)))),yarxi)</f>
        <v>0</v>
      </c>
      <c r="Z69">
        <f>IF((tt-dkyma*$I68)&gt;0,IF((tt-dkyma*$I68)&lt;Z$40,XARXI2+caera1*COS(Z$38)*(tt-dkyma*$I68),IF(AND((tt-dkyma*$I68)&gt;Z$40,(tt-dkyma*$I68)&lt;Z$40+AA$40),Z$25+Z$44*((tt-dkyma*$I68)-Z$40),Z$26+Z$48*((tt-dkyma*$I68)-Z$40-AA$40))),XARXI2)</f>
        <v>-37</v>
      </c>
      <c r="AA69">
        <f>IF((tt-dkyma*$I68)&gt;0,IF((tt-dkyma*$I68)&lt;Z$40,yarxi+caera1*SIN(Z$38)*(tt-dkyma*$I68),IF(AND((tt-dkyma*$I68)&gt;Z$40,(tt-dkyma*$I68)&lt;Z$40+AA$40),AA$25+AA$44*((tt-dkyma*$I68)-Z$40),AA$26+AA$48*((tt-dkyma*$I68)-(Z$40+AA$40)))),yarxi)</f>
        <v>0</v>
      </c>
      <c r="AS69">
        <f t="shared" si="4"/>
        <v>59</v>
      </c>
      <c r="AT69">
        <f t="shared" si="1"/>
        <v>-4.0999999999999996</v>
      </c>
      <c r="AU69">
        <f t="shared" si="2"/>
        <v>9.1208552230588555</v>
      </c>
      <c r="AV69">
        <f t="shared" si="3"/>
        <v>-9.1208552230588555</v>
      </c>
    </row>
    <row r="70" spans="1:48" x14ac:dyDescent="0.25">
      <c r="A70" t="s">
        <v>110</v>
      </c>
      <c r="B70">
        <f>-f_point</f>
        <v>-20.416666666666668</v>
      </c>
      <c r="D70">
        <f>B63</f>
        <v>-3.3333333333333335</v>
      </c>
      <c r="E70">
        <f>E69+F69*(D70-D69)</f>
        <v>-0.66543468215871038</v>
      </c>
      <c r="I70">
        <f>I68+1</f>
        <v>10</v>
      </c>
      <c r="J70">
        <f>IF((tt-dkyma*$I70)&gt;0,IF(((tt-dkyma*$I70))&lt;J$39,XARXI2+caera1*COS(J$21)*((tt-dkyma*$I70)),IF(AND(((tt-dkyma*$I70))&gt;JIF$39,((tt-dkyma*$I70))&lt;J$39+K$39),J$8+J$43*(((tt-dkyma*$I70))-J$39),J$9+J$47*(((tt-dkyma*$I70))-J$39-K$39))),XARXI2)</f>
        <v>-37</v>
      </c>
      <c r="K70">
        <f>IF((tt-dkyma*$I70)&gt;0,IF((tt-dkyma*$I70)&lt;J$39,yarxi+caera1*SIN(J$21)*(tt-dkyma*$I70),IF(AND((tt-dkyma*$I70)&gt;J$39,(tt-dkyma*$I70)&lt;J$39+K$39),K$8+K$43*((tt-dkyma*$I70)-J$39),K$9+K$47*((tt-dkyma*$I70)-(J$39+K$39)))),yarxi)</f>
        <v>0</v>
      </c>
      <c r="L70">
        <f>IF((tt-dkyma*$I70)&gt;0,IF(((tt-dkyma*$I70))&lt;L$39,XARXI2+caera1*COS(L$21)*((tt-dkyma*$I70)),IF(AND(((tt-dkyma*$I70))&gt;JIH$39,((tt-dkyma*$I70))&lt;L$39+M$39),L$8+L$43*(((tt-dkyma*$I70))-L$39),L$9+L$47*(((tt-dkyma*$I70))-L$39-M$39))),XARXI2)</f>
        <v>-37</v>
      </c>
      <c r="M70">
        <f>IF((tt-dkyma*$I70)&gt;0,IF((tt-dkyma*$I70)&lt;L$39,yarxi+caera1*SIN(L$21)*(tt-dkyma*$I70),IF(AND((tt-dkyma*$I70)&gt;L$39,(tt-dkyma*$I70)&lt;L$39+M$39),M$8+M$43*((tt-dkyma*$I70)-L$39),M$9+M$47*((tt-dkyma*$I70)-(L$39+M$39)))),yarxi)</f>
        <v>0</v>
      </c>
      <c r="N70">
        <f>IF((tt-dkyma*$I70)&gt;0,IF(((tt-dkyma*$I70))&lt;N$39,XARXI2+caera1*COS(N$21)*((tt-dkyma*$I70)),IF(AND(((tt-dkyma*$I70))&gt;JIJ$39,((tt-dkyma*$I70))&lt;N$39+O$39),N$8+N$43*(((tt-dkyma*$I70))-N$39),N$9+N$47*(((tt-dkyma*$I70))-N$39-O$39))),XARXI2)</f>
        <v>-37</v>
      </c>
      <c r="O70">
        <f>IF((tt-dkyma*$I70)&gt;0,IF((tt-dkyma*$I70)&lt;N$39,yarxi+caera1*SIN(N$21)*(tt-dkyma*$I70),IF(AND((tt-dkyma*$I70)&gt;N$39,(tt-dkyma*$I70)&lt;N$39+O$39),O$8+O$43*((tt-dkyma*$I70)-N$39),O$9+O$47*((tt-dkyma*$I70)-(N$39+O$39)))),yarxi)</f>
        <v>0</v>
      </c>
      <c r="P70">
        <f>IF((tt-dkyma*$I70)&gt;0,IF(((tt-dkyma*$I70))&lt;P$39,XARXI2+caera1*COS(P$21)*((tt-dkyma*$I70)),IF(AND(((tt-dkyma*$I70))&gt;JIL$39,((tt-dkyma*$I70))&lt;P$39+Q$39),P$8+P$43*(((tt-dkyma*$I70))-P$39),P$9+P$47*(((tt-dkyma*$I70))-P$39-Q$39))),XARXI2)</f>
        <v>-37</v>
      </c>
      <c r="Q70">
        <f>IF((tt-dkyma*$I70)&gt;0,IF((tt-dkyma*$I70)&lt;P$39,yarxi+caera1*SIN(P$21)*(tt-dkyma*$I70),IF(AND((tt-dkyma*$I70)&gt;P$39,(tt-dkyma*$I70)&lt;P$39+Q$39),Q$8+Q$43*((tt-dkyma*$I70)-P$39),Q$9+Q$47*((tt-dkyma*$I70)-(P$39+Q$39)))),yarxi)</f>
        <v>0</v>
      </c>
      <c r="R70">
        <f>IF((tt-dkyma*$I70)&gt;0,IF(((tt-dkyma*$I70))&lt;R$39,XARXI2+caera1*COS(R$21)*((tt-dkyma*$I70)),IF(AND(((tt-dkyma*$I70))&gt;JIN$39,((tt-dkyma*$I70))&lt;R$39+S$39),R$8+R$43*(((tt-dkyma*$I70))-R$39),R$9+R$47*(((tt-dkyma*$I70))-R$39-S$39))),XARXI2)</f>
        <v>-37</v>
      </c>
      <c r="S70">
        <f>IF((tt-dkyma*$I70)&gt;0,IF((tt-dkyma*$I70)&lt;R$39,yarxi+caera1*SIN(R$21)*(tt-dkyma*$I70),IF(AND((tt-dkyma*$I70)&gt;R$39,(tt-dkyma*$I70)&lt;R$39+S$39),S$8+S$43*((tt-dkyma*$I70)-R$39),S$9+S$47*((tt-dkyma*$I70)-(R$39+S$39)))),yarxi)</f>
        <v>0</v>
      </c>
      <c r="T70">
        <f>IF((tt-dkyma*$I70)&gt;0,IF(((tt-dkyma*$I70))&lt;T$39,XARXI2+caera1*COS(T$21)*((tt-dkyma*$I70)),IF(AND(((tt-dkyma*$I70))&gt;JIP$39,((tt-dkyma*$I70))&lt;T$39+U$39),T$8+T$43*(((tt-dkyma*$I70))-T$39),T$9+T$47*(((tt-dkyma*$I70))-T$39-U$39))),XARXI2)</f>
        <v>-37</v>
      </c>
      <c r="U70">
        <f>IF((tt-dkyma*$I70)&gt;0,IF((tt-dkyma*$I70)&lt;T$39,yarxi+caera1*SIN(T$21)*(tt-dkyma*$I70),IF(AND((tt-dkyma*$I70)&gt;T$39,(tt-dkyma*$I70)&lt;T$39+U$39),U$8+U$43*((tt-dkyma*$I70)-T$39),U$9+U$47*((tt-dkyma*$I70)-(T$39+U$39)))),yarxi)</f>
        <v>0</v>
      </c>
      <c r="V70">
        <f>IF((tt-dkyma*$I70)&gt;0,IF(((tt-dkyma*$I70))&lt;V$39,XARXI2+caera1*COS(V$21)*((tt-dkyma*$I70)),IF(AND(((tt-dkyma*$I70))&gt;JIR$39,((tt-dkyma*$I70))&lt;V$39+W$39),V$8+V$43*(((tt-dkyma*$I70))-V$39),V$9+V$47*(((tt-dkyma*$I70))-V$39-W$39))),XARXI2)</f>
        <v>-37</v>
      </c>
      <c r="W70">
        <f>IF((tt-dkyma*$I70)&gt;0,IF((tt-dkyma*$I70)&lt;V$39,yarxi+caera1*SIN(V$21)*(tt-dkyma*$I70),IF(AND((tt-dkyma*$I70)&gt;V$39,(tt-dkyma*$I70)&lt;V$39+W$39),W$8+W$43*((tt-dkyma*$I70)-V$39),W$9+W$47*((tt-dkyma*$I70)-(V$39+W$39)))),yarxi)</f>
        <v>0</v>
      </c>
      <c r="X70">
        <f>IF((tt-dkyma*$I70)&gt;0,IF(((tt-dkyma*$I70))&lt;X$39,XARXI2+caera1*COS(X$21)*((tt-dkyma*$I70)),IF(AND(((tt-dkyma*$I70))&gt;JIT$39,((tt-dkyma*$I70))&lt;X$39+Y$39),X$8+X$43*(((tt-dkyma*$I70))-X$39),X$9+X$47*(((tt-dkyma*$I70))-X$39-Y$39))),XARXI2)</f>
        <v>-37</v>
      </c>
      <c r="Y70">
        <f>IF((tt-dkyma*$I70)&gt;0,IF((tt-dkyma*$I70)&lt;X$39,yarxi+caera1*SIN(X$21)*(tt-dkyma*$I70),IF(AND((tt-dkyma*$I70)&gt;X$39,(tt-dkyma*$I70)&lt;X$39+Y$39),Y$8+Y$43*((tt-dkyma*$I70)-X$39),Y$9+Y$47*((tt-dkyma*$I70)-(X$39+Y$39)))),yarxi)</f>
        <v>0</v>
      </c>
      <c r="Z70">
        <f>IF((tt-dkyma*$I70)&gt;0,IF(((tt-dkyma*$I70))&lt;Z$39,XARXI2+caera1*COS(Z$21)*((tt-dkyma*$I70)),IF(AND(((tt-dkyma*$I70))&gt;JIV$39,((tt-dkyma*$I70))&lt;Z$39+AA$39),Z$8+Z$43*(((tt-dkyma*$I70))-Z$39),Z$9+Z$47*(((tt-dkyma*$I70))-Z$39-AA$39))),XARXI2)</f>
        <v>-37</v>
      </c>
      <c r="AA70">
        <f>IF((tt-dkyma*$I70)&gt;0,IF((tt-dkyma*$I70)&lt;Z$39,yarxi+caera1*SIN(Z$21)*(tt-dkyma*$I70),IF(AND((tt-dkyma*$I70)&gt;Z$39,(tt-dkyma*$I70)&lt;Z$39+AA$39),AA$8+AA$43*((tt-dkyma*$I70)-Z$39),AA$9+AA$47*((tt-dkyma*$I70)-(Z$39+AA$39)))),yarxi)</f>
        <v>0</v>
      </c>
      <c r="AB70">
        <f>IF((tt-dkyma*$I70)&gt;0,IF(((tt-dkyma*$I70))&lt;AB$39,XARXI2+caera1*COS(AB$21)*((tt-dkyma*$I70)),IF(AND(((tt-dkyma*$I70))&gt;AB$39,((tt-dkyma*$I70))&lt;AB$39+AC$39),AB$8+AB$43*(((tt-dkyma*$I70))-AB$39),AB$9+AB$47*(((tt-dkyma*$I70))-AB$39-AC$39))),XARXI2)</f>
        <v>-37</v>
      </c>
      <c r="AC70">
        <f>IF((tt-dkyma*$I70)&gt;0,IF((tt-dkyma*$I70)&lt;AB$39,yarxi+caera1*SIN(AB$21)*(tt-dkyma*$I70),IF(AND((tt-dkyma*$I70)&gt;AB$39,(tt-dkyma*$I70)&lt;AB$39+AC$39),AC$8+AC$43*((tt-dkyma*$I70)-AB$39),AC$9+AC$47*((tt-dkyma*$I70)-(AB$39+AC$39)))),yarxi)</f>
        <v>0</v>
      </c>
      <c r="AS70">
        <f t="shared" si="4"/>
        <v>60</v>
      </c>
      <c r="AT70">
        <f t="shared" si="1"/>
        <v>-4</v>
      </c>
      <c r="AU70">
        <f t="shared" si="2"/>
        <v>9.1651513899116797</v>
      </c>
      <c r="AV70">
        <f t="shared" si="3"/>
        <v>-9.1651513899116797</v>
      </c>
    </row>
    <row r="71" spans="1:48" x14ac:dyDescent="0.25">
      <c r="D71">
        <f>60</f>
        <v>60</v>
      </c>
      <c r="E71">
        <f>E70</f>
        <v>-0.66543468215871038</v>
      </c>
      <c r="I71">
        <f>I70</f>
        <v>10</v>
      </c>
      <c r="J71">
        <f>IF((tt-dkyma*$I70)&gt;0,IF((tt-dkyma*$I70)&lt;J$40,XARXI2+caera1*COS(J$38)*(tt-dkyma*$I70),IF(AND((tt-dkyma*$I70)&gt;J$40,(tt-dkyma*$I70)&lt;J$40+K$40),J$25+J$44*((tt-dkyma*$I70)-J$40),J$26+J$48*((tt-dkyma*$I70)-J$40-K$40))),XARXI2)</f>
        <v>-37</v>
      </c>
      <c r="K71">
        <f>IF((tt-dkyma*$I70)&gt;0,IF((tt-dkyma*$I70)&lt;J$40,yarxi+caera1*SIN(J$38)*(tt-dkyma*$I70),IF(AND((tt-dkyma*$I70)&gt;J$40,(tt-dkyma*$I70)&lt;J$40+K$40),K$25+K$44*((tt-dkyma*$I70)-J$40),K$26+K$48*((tt-dkyma*$I70)-(J$40+K$40)))),yarxi)</f>
        <v>0</v>
      </c>
      <c r="L71">
        <f>IF((tt-dkyma*$I70)&gt;0,IF((tt-dkyma*$I70)&lt;L$40,XARXI2+caera1*COS(L$38)*(tt-dkyma*$I70),IF(AND((tt-dkyma*$I70)&gt;L$40,(tt-dkyma*$I70)&lt;L$40+M$40),L$25+L$44*((tt-dkyma*$I70)-L$40),L$26+L$48*((tt-dkyma*$I70)-L$40-M$40))),XARXI2)</f>
        <v>-37</v>
      </c>
      <c r="M71">
        <f>IF((tt-dkyma*$I70)&gt;0,IF((tt-dkyma*$I70)&lt;L$40,yarxi+caera1*SIN(L$38)*(tt-dkyma*$I70),IF(AND((tt-dkyma*$I70)&gt;L$40,(tt-dkyma*$I70)&lt;L$40+M$40),M$25+M$44*((tt-dkyma*$I70)-L$40),M$26+M$48*((tt-dkyma*$I70)-(L$40+M$40)))),yarxi)</f>
        <v>0</v>
      </c>
      <c r="N71">
        <f>IF((tt-dkyma*$I70)&gt;0,IF((tt-dkyma*$I70)&lt;N$40,XARXI2+caera1*COS(N$38)*(tt-dkyma*$I70),IF(AND((tt-dkyma*$I70)&gt;N$40,(tt-dkyma*$I70)&lt;N$40+O$40),N$25+N$44*((tt-dkyma*$I70)-N$40),N$26+N$48*((tt-dkyma*$I70)-N$40-O$40))),XARXI2)</f>
        <v>-37</v>
      </c>
      <c r="O71">
        <f>IF((tt-dkyma*$I70)&gt;0,IF((tt-dkyma*$I70)&lt;N$40,yarxi+caera1*SIN(N$38)*(tt-dkyma*$I70),IF(AND((tt-dkyma*$I70)&gt;N$40,(tt-dkyma*$I70)&lt;N$40+O$40),O$25+O$44*((tt-dkyma*$I70)-N$40),O$26+O$48*((tt-dkyma*$I70)-(N$40+O$40)))),yarxi)</f>
        <v>0</v>
      </c>
      <c r="P71">
        <f>IF((tt-dkyma*$I70)&gt;0,IF((tt-dkyma*$I70)&lt;P$40,XARXI2+caera1*COS(P$38)*(tt-dkyma*$I70),IF(AND((tt-dkyma*$I70)&gt;P$40,(tt-dkyma*$I70)&lt;P$40+Q$40),P$25+P$44*((tt-dkyma*$I70)-P$40),P$26+P$48*((tt-dkyma*$I70)-P$40-Q$40))),XARXI2)</f>
        <v>-37</v>
      </c>
      <c r="Q71">
        <f>IF((tt-dkyma*$I70)&gt;0,IF((tt-dkyma*$I70)&lt;P$40,yarxi+caera1*SIN(P$38)*(tt-dkyma*$I70),IF(AND((tt-dkyma*$I70)&gt;P$40,(tt-dkyma*$I70)&lt;P$40+Q$40),Q$25+Q$44*((tt-dkyma*$I70)-P$40),Q$26+Q$48*((tt-dkyma*$I70)-(P$40+Q$40)))),yarxi)</f>
        <v>0</v>
      </c>
      <c r="R71">
        <f>IF((tt-dkyma*$I70)&gt;0,IF((tt-dkyma*$I70)&lt;R$40,XARXI2+caera1*COS(R$38)*(tt-dkyma*$I70),IF(AND((tt-dkyma*$I70)&gt;R$40,(tt-dkyma*$I70)&lt;R$40+S$40),R$25+R$44*((tt-dkyma*$I70)-R$40),R$26+R$48*((tt-dkyma*$I70)-R$40-S$40))),XARXI2)</f>
        <v>-37</v>
      </c>
      <c r="S71">
        <f>IF((tt-dkyma*$I70)&gt;0,IF((tt-dkyma*$I70)&lt;R$40,yarxi+caera1*SIN(R$38)*(tt-dkyma*$I70),IF(AND((tt-dkyma*$I70)&gt;R$40,(tt-dkyma*$I70)&lt;R$40+S$40),S$25+S$44*((tt-dkyma*$I70)-R$40),S$26+S$48*((tt-dkyma*$I70)-(R$40+S$40)))),yarxi)</f>
        <v>0</v>
      </c>
      <c r="T71">
        <f>IF((tt-dkyma*$I70)&gt;0,IF((tt-dkyma*$I70)&lt;T$40,XARXI2+caera1*COS(T$38)*(tt-dkyma*$I70),IF(AND((tt-dkyma*$I70)&gt;T$40,(tt-dkyma*$I70)&lt;T$40+U$40),T$25+T$44*((tt-dkyma*$I70)-T$40),T$26+T$48*((tt-dkyma*$I70)-T$40-U$40))),XARXI2)</f>
        <v>-37</v>
      </c>
      <c r="U71">
        <f>IF((tt-dkyma*$I70)&gt;0,IF((tt-dkyma*$I70)&lt;T$40,yarxi+caera1*SIN(T$38)*(tt-dkyma*$I70),IF(AND((tt-dkyma*$I70)&gt;T$40,(tt-dkyma*$I70)&lt;T$40+U$40),U$25+U$44*((tt-dkyma*$I70)-T$40),U$26+U$48*((tt-dkyma*$I70)-(T$40+U$40)))),yarxi)</f>
        <v>0</v>
      </c>
      <c r="V71">
        <f>IF((tt-dkyma*$I70)&gt;0,IF((tt-dkyma*$I70)&lt;V$40,XARXI2+caera1*COS(V$38)*(tt-dkyma*$I70),IF(AND((tt-dkyma*$I70)&gt;V$40,(tt-dkyma*$I70)&lt;V$40+W$40),V$25+V$44*((tt-dkyma*$I70)-V$40),V$26+V$48*((tt-dkyma*$I70)-V$40-W$40))),XARXI2)</f>
        <v>-37</v>
      </c>
      <c r="W71">
        <f>IF((tt-dkyma*$I70)&gt;0,IF((tt-dkyma*$I70)&lt;V$40,yarxi+caera1*SIN(V$38)*(tt-dkyma*$I70),IF(AND((tt-dkyma*$I70)&gt;V$40,(tt-dkyma*$I70)&lt;V$40+W$40),W$25+W$44*((tt-dkyma*$I70)-V$40),W$26+W$48*((tt-dkyma*$I70)-(V$40+W$40)))),yarxi)</f>
        <v>0</v>
      </c>
      <c r="X71">
        <f>IF((tt-dkyma*$I70)&gt;0,IF((tt-dkyma*$I70)&lt;X$40,XARXI2+caera1*COS(X$38)*(tt-dkyma*$I70),IF(AND((tt-dkyma*$I70)&gt;X$40,(tt-dkyma*$I70)&lt;X$40+Y$40),X$25+X$44*((tt-dkyma*$I70)-X$40),X$26+X$48*((tt-dkyma*$I70)-X$40-Y$40))),XARXI2)</f>
        <v>-37</v>
      </c>
      <c r="Y71">
        <f>IF((tt-dkyma*$I70)&gt;0,IF((tt-dkyma*$I70)&lt;X$40,yarxi+caera1*SIN(X$38)*(tt-dkyma*$I70),IF(AND((tt-dkyma*$I70)&gt;X$40,(tt-dkyma*$I70)&lt;X$40+Y$40),Y$25+Y$44*((tt-dkyma*$I70)-X$40),Y$26+Y$48*((tt-dkyma*$I70)-(X$40+Y$40)))),yarxi)</f>
        <v>0</v>
      </c>
      <c r="Z71">
        <f>IF((tt-dkyma*$I70)&gt;0,IF((tt-dkyma*$I70)&lt;Z$40,XARXI2+caera1*COS(Z$38)*(tt-dkyma*$I70),IF(AND((tt-dkyma*$I70)&gt;Z$40,(tt-dkyma*$I70)&lt;Z$40+AA$40),Z$25+Z$44*((tt-dkyma*$I70)-Z$40),Z$26+Z$48*((tt-dkyma*$I70)-Z$40-AA$40))),XARXI2)</f>
        <v>-37</v>
      </c>
      <c r="AA71">
        <f>IF((tt-dkyma*$I70)&gt;0,IF((tt-dkyma*$I70)&lt;Z$40,yarxi+caera1*SIN(Z$38)*(tt-dkyma*$I70),IF(AND((tt-dkyma*$I70)&gt;Z$40,(tt-dkyma*$I70)&lt;Z$40+AA$40),AA$25+AA$44*((tt-dkyma*$I70)-Z$40),AA$26+AA$48*((tt-dkyma*$I70)-(Z$40+AA$40)))),yarxi)</f>
        <v>0</v>
      </c>
      <c r="AS71">
        <f t="shared" si="4"/>
        <v>61</v>
      </c>
      <c r="AT71">
        <f t="shared" si="1"/>
        <v>-3.8999999999999995</v>
      </c>
      <c r="AU71">
        <f t="shared" si="2"/>
        <v>9.2081485652654411</v>
      </c>
      <c r="AV71">
        <f t="shared" si="3"/>
        <v>-9.2081485652654411</v>
      </c>
    </row>
    <row r="72" spans="1:48" x14ac:dyDescent="0.25">
      <c r="AS72">
        <f t="shared" si="4"/>
        <v>62</v>
      </c>
      <c r="AT72">
        <f t="shared" si="1"/>
        <v>-3.8</v>
      </c>
      <c r="AU72">
        <f t="shared" si="2"/>
        <v>9.2498648638777414</v>
      </c>
      <c r="AV72">
        <f t="shared" si="3"/>
        <v>-9.2498648638777414</v>
      </c>
    </row>
    <row r="73" spans="1:48" x14ac:dyDescent="0.25">
      <c r="A73" t="s">
        <v>111</v>
      </c>
      <c r="B73">
        <f>+f_point</f>
        <v>20.416666666666668</v>
      </c>
      <c r="AS73">
        <f t="shared" si="4"/>
        <v>63</v>
      </c>
      <c r="AT73">
        <f t="shared" si="1"/>
        <v>-3.6999999999999993</v>
      </c>
      <c r="AU73">
        <f t="shared" si="2"/>
        <v>9.2903175403212135</v>
      </c>
      <c r="AV73">
        <f t="shared" si="3"/>
        <v>-9.2903175403212135</v>
      </c>
    </row>
    <row r="74" spans="1:48" x14ac:dyDescent="0.25">
      <c r="AS74">
        <f t="shared" si="4"/>
        <v>64</v>
      </c>
      <c r="AT74">
        <f t="shared" ref="AT74:AT137" si="23">-RCYCLE+AS74*STEP</f>
        <v>-3.5999999999999996</v>
      </c>
      <c r="AU74">
        <f t="shared" ref="AU74:AU137" si="24">yc+SQRT(RCYCLE^2-(AT74-xc)^2)</f>
        <v>9.3295230317524815</v>
      </c>
      <c r="AV74">
        <f t="shared" ref="AV74:AV137" si="25">yc-SQRT(RCYCLE^2-(AT74-xc)^2)</f>
        <v>-9.3295230317524815</v>
      </c>
    </row>
    <row r="75" spans="1:48" x14ac:dyDescent="0.25">
      <c r="AS75">
        <f t="shared" ref="AS75:AS138" si="26">AS74+1</f>
        <v>65</v>
      </c>
      <c r="AT75">
        <f t="shared" si="23"/>
        <v>-3.5</v>
      </c>
      <c r="AU75">
        <f t="shared" si="24"/>
        <v>9.3674969975975966</v>
      </c>
      <c r="AV75">
        <f t="shared" si="25"/>
        <v>-9.3674969975975966</v>
      </c>
    </row>
    <row r="76" spans="1:48" x14ac:dyDescent="0.25">
      <c r="AS76">
        <f t="shared" si="26"/>
        <v>66</v>
      </c>
      <c r="AT76">
        <f t="shared" si="23"/>
        <v>-3.3999999999999995</v>
      </c>
      <c r="AU76">
        <f t="shared" si="24"/>
        <v>9.404254356406998</v>
      </c>
      <c r="AV76">
        <f t="shared" si="25"/>
        <v>-9.404254356406998</v>
      </c>
    </row>
    <row r="77" spans="1:48" x14ac:dyDescent="0.25">
      <c r="AS77">
        <f t="shared" si="26"/>
        <v>67</v>
      </c>
      <c r="AT77">
        <f t="shared" si="23"/>
        <v>-3.3</v>
      </c>
      <c r="AU77">
        <f t="shared" si="24"/>
        <v>9.4398093201081128</v>
      </c>
      <c r="AV77">
        <f t="shared" si="25"/>
        <v>-9.4398093201081128</v>
      </c>
    </row>
    <row r="78" spans="1:48" x14ac:dyDescent="0.25">
      <c r="AS78">
        <f t="shared" si="26"/>
        <v>68</v>
      </c>
      <c r="AT78">
        <f t="shared" si="23"/>
        <v>-3.1999999999999993</v>
      </c>
      <c r="AU78">
        <f t="shared" si="24"/>
        <v>9.4741754258616098</v>
      </c>
      <c r="AV78">
        <f t="shared" si="25"/>
        <v>-9.4741754258616098</v>
      </c>
    </row>
    <row r="79" spans="1:48" x14ac:dyDescent="0.25">
      <c r="AS79">
        <f t="shared" si="26"/>
        <v>69</v>
      </c>
      <c r="AT79">
        <f t="shared" si="23"/>
        <v>-3.0999999999999996</v>
      </c>
      <c r="AU79">
        <f t="shared" si="24"/>
        <v>9.5073655657074632</v>
      </c>
      <c r="AV79">
        <f t="shared" si="25"/>
        <v>-9.5073655657074632</v>
      </c>
    </row>
    <row r="80" spans="1:48" x14ac:dyDescent="0.25">
      <c r="AS80">
        <f t="shared" si="26"/>
        <v>70</v>
      </c>
      <c r="AT80">
        <f t="shared" si="23"/>
        <v>-3</v>
      </c>
      <c r="AU80">
        <f t="shared" si="24"/>
        <v>9.5393920141694561</v>
      </c>
      <c r="AV80">
        <f t="shared" si="25"/>
        <v>-9.5393920141694561</v>
      </c>
    </row>
    <row r="81" spans="45:48" x14ac:dyDescent="0.25">
      <c r="AS81">
        <f t="shared" si="26"/>
        <v>71</v>
      </c>
      <c r="AT81">
        <f t="shared" si="23"/>
        <v>-2.8999999999999995</v>
      </c>
      <c r="AU81">
        <f t="shared" si="24"/>
        <v>9.5702664539708611</v>
      </c>
      <c r="AV81">
        <f t="shared" si="25"/>
        <v>-9.5702664539708611</v>
      </c>
    </row>
    <row r="82" spans="45:48" x14ac:dyDescent="0.25">
      <c r="AS82">
        <f t="shared" si="26"/>
        <v>72</v>
      </c>
      <c r="AT82">
        <f t="shared" si="23"/>
        <v>-2.8</v>
      </c>
      <c r="AU82">
        <f t="shared" si="24"/>
        <v>9.6</v>
      </c>
      <c r="AV82">
        <f t="shared" si="25"/>
        <v>-9.6</v>
      </c>
    </row>
    <row r="83" spans="45:48" x14ac:dyDescent="0.25">
      <c r="AS83">
        <f t="shared" si="26"/>
        <v>73</v>
      </c>
      <c r="AT83">
        <f t="shared" si="23"/>
        <v>-2.6999999999999993</v>
      </c>
      <c r="AU83">
        <f t="shared" si="24"/>
        <v>9.6286032216516233</v>
      </c>
      <c r="AV83">
        <f t="shared" si="25"/>
        <v>-9.6286032216516233</v>
      </c>
    </row>
    <row r="84" spans="45:48" x14ac:dyDescent="0.25">
      <c r="AS84">
        <f t="shared" si="26"/>
        <v>74</v>
      </c>
      <c r="AT84">
        <f t="shared" si="23"/>
        <v>-2.5999999999999996</v>
      </c>
      <c r="AU84">
        <f t="shared" si="24"/>
        <v>9.6560861636586495</v>
      </c>
      <c r="AV84">
        <f t="shared" si="25"/>
        <v>-9.6560861636586495</v>
      </c>
    </row>
    <row r="85" spans="45:48" x14ac:dyDescent="0.25">
      <c r="AS85">
        <f t="shared" si="26"/>
        <v>75</v>
      </c>
      <c r="AT85">
        <f t="shared" si="23"/>
        <v>-2.5</v>
      </c>
      <c r="AU85">
        <f t="shared" si="24"/>
        <v>9.6824583655185421</v>
      </c>
      <c r="AV85">
        <f t="shared" si="25"/>
        <v>-9.6824583655185421</v>
      </c>
    </row>
    <row r="86" spans="45:48" x14ac:dyDescent="0.25">
      <c r="AS86">
        <f t="shared" si="26"/>
        <v>76</v>
      </c>
      <c r="AT86">
        <f t="shared" si="23"/>
        <v>-2.3999999999999995</v>
      </c>
      <c r="AU86">
        <f t="shared" si="24"/>
        <v>9.7077288796092773</v>
      </c>
      <c r="AV86">
        <f t="shared" si="25"/>
        <v>-9.7077288796092773</v>
      </c>
    </row>
    <row r="87" spans="45:48" x14ac:dyDescent="0.25">
      <c r="AS87">
        <f t="shared" si="26"/>
        <v>77</v>
      </c>
      <c r="AT87">
        <f t="shared" si="23"/>
        <v>-2.2999999999999998</v>
      </c>
      <c r="AU87">
        <f t="shared" si="24"/>
        <v>9.7319062880814879</v>
      </c>
      <c r="AV87">
        <f t="shared" si="25"/>
        <v>-9.7319062880814879</v>
      </c>
    </row>
    <row r="88" spans="45:48" x14ac:dyDescent="0.25">
      <c r="AS88">
        <f t="shared" si="26"/>
        <v>78</v>
      </c>
      <c r="AT88">
        <f t="shared" si="23"/>
        <v>-2.1999999999999993</v>
      </c>
      <c r="AU88">
        <f t="shared" si="24"/>
        <v>9.7549987186057585</v>
      </c>
      <c r="AV88">
        <f t="shared" si="25"/>
        <v>-9.7549987186057585</v>
      </c>
    </row>
    <row r="89" spans="45:48" x14ac:dyDescent="0.25">
      <c r="AS89">
        <f t="shared" si="26"/>
        <v>79</v>
      </c>
      <c r="AT89">
        <f t="shared" si="23"/>
        <v>-2.0999999999999996</v>
      </c>
      <c r="AU89">
        <f t="shared" si="24"/>
        <v>9.7770138590471483</v>
      </c>
      <c r="AV89">
        <f t="shared" si="25"/>
        <v>-9.7770138590471483</v>
      </c>
    </row>
    <row r="90" spans="45:48" x14ac:dyDescent="0.25">
      <c r="AS90">
        <f t="shared" si="26"/>
        <v>80</v>
      </c>
      <c r="AT90">
        <f t="shared" si="23"/>
        <v>-2</v>
      </c>
      <c r="AU90">
        <f t="shared" si="24"/>
        <v>9.7979589711327115</v>
      </c>
      <c r="AV90">
        <f t="shared" si="25"/>
        <v>-9.7979589711327115</v>
      </c>
    </row>
    <row r="91" spans="45:48" x14ac:dyDescent="0.25">
      <c r="AS91">
        <f t="shared" si="26"/>
        <v>81</v>
      </c>
      <c r="AT91">
        <f t="shared" si="23"/>
        <v>-1.9000000000000004</v>
      </c>
      <c r="AU91">
        <f t="shared" si="24"/>
        <v>9.8178409031721436</v>
      </c>
      <c r="AV91">
        <f t="shared" si="25"/>
        <v>-9.8178409031721436</v>
      </c>
    </row>
    <row r="92" spans="45:48" x14ac:dyDescent="0.25">
      <c r="AS92">
        <f t="shared" si="26"/>
        <v>82</v>
      </c>
      <c r="AT92">
        <f t="shared" si="23"/>
        <v>-1.7999999999999989</v>
      </c>
      <c r="AU92">
        <f t="shared" si="24"/>
        <v>9.836666101886351</v>
      </c>
      <c r="AV92">
        <f t="shared" si="25"/>
        <v>-9.836666101886351</v>
      </c>
    </row>
    <row r="93" spans="45:48" x14ac:dyDescent="0.25">
      <c r="AS93">
        <f t="shared" si="26"/>
        <v>83</v>
      </c>
      <c r="AT93">
        <f t="shared" si="23"/>
        <v>-1.6999999999999993</v>
      </c>
      <c r="AU93">
        <f t="shared" si="24"/>
        <v>9.8544406233941046</v>
      </c>
      <c r="AV93">
        <f t="shared" si="25"/>
        <v>-9.8544406233941046</v>
      </c>
    </row>
    <row r="94" spans="45:48" x14ac:dyDescent="0.25">
      <c r="AS94">
        <f t="shared" si="26"/>
        <v>84</v>
      </c>
      <c r="AT94">
        <f t="shared" si="23"/>
        <v>-1.5999999999999996</v>
      </c>
      <c r="AU94">
        <f t="shared" si="24"/>
        <v>9.8711701434024519</v>
      </c>
      <c r="AV94">
        <f t="shared" si="25"/>
        <v>-9.8711701434024519</v>
      </c>
    </row>
    <row r="95" spans="45:48" x14ac:dyDescent="0.25">
      <c r="AS95">
        <f t="shared" si="26"/>
        <v>85</v>
      </c>
      <c r="AT95">
        <f t="shared" si="23"/>
        <v>-1.5</v>
      </c>
      <c r="AU95">
        <f t="shared" si="24"/>
        <v>9.8868599666425947</v>
      </c>
      <c r="AV95">
        <f t="shared" si="25"/>
        <v>-9.8868599666425947</v>
      </c>
    </row>
    <row r="96" spans="45:48" x14ac:dyDescent="0.25">
      <c r="AS96">
        <f t="shared" si="26"/>
        <v>86</v>
      </c>
      <c r="AT96">
        <f t="shared" si="23"/>
        <v>-1.4000000000000004</v>
      </c>
      <c r="AU96">
        <f t="shared" si="24"/>
        <v>9.9015150355892505</v>
      </c>
      <c r="AV96">
        <f t="shared" si="25"/>
        <v>-9.9015150355892505</v>
      </c>
    </row>
    <row r="97" spans="45:48" x14ac:dyDescent="0.25">
      <c r="AS97">
        <f t="shared" si="26"/>
        <v>87</v>
      </c>
      <c r="AT97">
        <f t="shared" si="23"/>
        <v>-1.2999999999999989</v>
      </c>
      <c r="AU97">
        <f t="shared" si="24"/>
        <v>9.9151399384980952</v>
      </c>
      <c r="AV97">
        <f t="shared" si="25"/>
        <v>-9.9151399384980952</v>
      </c>
    </row>
    <row r="98" spans="45:48" x14ac:dyDescent="0.25">
      <c r="AS98">
        <f t="shared" si="26"/>
        <v>88</v>
      </c>
      <c r="AT98">
        <f t="shared" si="23"/>
        <v>-1.1999999999999993</v>
      </c>
      <c r="AU98">
        <f t="shared" si="24"/>
        <v>9.9277389167926859</v>
      </c>
      <c r="AV98">
        <f t="shared" si="25"/>
        <v>-9.9277389167926859</v>
      </c>
    </row>
    <row r="99" spans="45:48" x14ac:dyDescent="0.25">
      <c r="AS99">
        <f t="shared" si="26"/>
        <v>89</v>
      </c>
      <c r="AT99">
        <f t="shared" si="23"/>
        <v>-1.0999999999999996</v>
      </c>
      <c r="AU99">
        <f t="shared" si="24"/>
        <v>9.9393158718294092</v>
      </c>
      <c r="AV99">
        <f t="shared" si="25"/>
        <v>-9.9393158718294092</v>
      </c>
    </row>
    <row r="100" spans="45:48" x14ac:dyDescent="0.25">
      <c r="AS100">
        <f t="shared" si="26"/>
        <v>90</v>
      </c>
      <c r="AT100">
        <f t="shared" si="23"/>
        <v>-1</v>
      </c>
      <c r="AU100">
        <f t="shared" si="24"/>
        <v>9.9498743710661994</v>
      </c>
      <c r="AV100">
        <f t="shared" si="25"/>
        <v>-9.9498743710661994</v>
      </c>
    </row>
    <row r="101" spans="45:48" x14ac:dyDescent="0.25">
      <c r="AS101">
        <f t="shared" si="26"/>
        <v>91</v>
      </c>
      <c r="AT101">
        <f t="shared" si="23"/>
        <v>-0.90000000000000036</v>
      </c>
      <c r="AU101">
        <f t="shared" si="24"/>
        <v>9.959417653658269</v>
      </c>
      <c r="AV101">
        <f t="shared" si="25"/>
        <v>-9.959417653658269</v>
      </c>
    </row>
    <row r="102" spans="45:48" x14ac:dyDescent="0.25">
      <c r="AS102">
        <f t="shared" si="26"/>
        <v>92</v>
      </c>
      <c r="AT102">
        <f t="shared" si="23"/>
        <v>-0.79999999999999893</v>
      </c>
      <c r="AU102">
        <f t="shared" si="24"/>
        <v>9.9679486355016902</v>
      </c>
      <c r="AV102">
        <f t="shared" si="25"/>
        <v>-9.9679486355016902</v>
      </c>
    </row>
    <row r="103" spans="45:48" x14ac:dyDescent="0.25">
      <c r="AS103">
        <f t="shared" si="26"/>
        <v>93</v>
      </c>
      <c r="AT103">
        <f t="shared" si="23"/>
        <v>-0.69999999999999929</v>
      </c>
      <c r="AU103">
        <f t="shared" si="24"/>
        <v>9.975469913743412</v>
      </c>
      <c r="AV103">
        <f t="shared" si="25"/>
        <v>-9.975469913743412</v>
      </c>
    </row>
    <row r="104" spans="45:48" x14ac:dyDescent="0.25">
      <c r="AS104">
        <f t="shared" si="26"/>
        <v>94</v>
      </c>
      <c r="AT104">
        <f t="shared" si="23"/>
        <v>-0.59999999999999964</v>
      </c>
      <c r="AU104">
        <f t="shared" si="24"/>
        <v>9.9819837707742245</v>
      </c>
      <c r="AV104">
        <f t="shared" si="25"/>
        <v>-9.9819837707742245</v>
      </c>
    </row>
    <row r="105" spans="45:48" x14ac:dyDescent="0.25">
      <c r="AS105">
        <f t="shared" si="26"/>
        <v>95</v>
      </c>
      <c r="AT105">
        <f t="shared" si="23"/>
        <v>-0.5</v>
      </c>
      <c r="AU105">
        <f t="shared" si="24"/>
        <v>9.9874921777190888</v>
      </c>
      <c r="AV105">
        <f t="shared" si="25"/>
        <v>-9.9874921777190888</v>
      </c>
    </row>
    <row r="106" spans="45:48" x14ac:dyDescent="0.25">
      <c r="AS106">
        <f t="shared" si="26"/>
        <v>96</v>
      </c>
      <c r="AT106">
        <f t="shared" si="23"/>
        <v>-0.39999999999999858</v>
      </c>
      <c r="AU106">
        <f t="shared" si="24"/>
        <v>9.9919967974374373</v>
      </c>
      <c r="AV106">
        <f t="shared" si="25"/>
        <v>-9.9919967974374373</v>
      </c>
    </row>
    <row r="107" spans="45:48" x14ac:dyDescent="0.25">
      <c r="AS107">
        <f t="shared" si="26"/>
        <v>97</v>
      </c>
      <c r="AT107">
        <f t="shared" si="23"/>
        <v>-0.29999999999999893</v>
      </c>
      <c r="AU107">
        <f t="shared" si="24"/>
        <v>9.9954989870441189</v>
      </c>
      <c r="AV107">
        <f t="shared" si="25"/>
        <v>-9.9954989870441189</v>
      </c>
    </row>
    <row r="108" spans="45:48" x14ac:dyDescent="0.25">
      <c r="AS108">
        <f t="shared" si="26"/>
        <v>98</v>
      </c>
      <c r="AT108">
        <f t="shared" si="23"/>
        <v>-0.19999999999999929</v>
      </c>
      <c r="AU108">
        <f t="shared" si="24"/>
        <v>9.9979997999599899</v>
      </c>
      <c r="AV108">
        <f t="shared" si="25"/>
        <v>-9.9979997999599899</v>
      </c>
    </row>
    <row r="109" spans="45:48" x14ac:dyDescent="0.25">
      <c r="AS109">
        <f t="shared" si="26"/>
        <v>99</v>
      </c>
      <c r="AT109">
        <f t="shared" si="23"/>
        <v>-9.9999999999999645E-2</v>
      </c>
      <c r="AU109">
        <f t="shared" si="24"/>
        <v>9.9994999874993749</v>
      </c>
      <c r="AV109">
        <f t="shared" si="25"/>
        <v>-9.9994999874993749</v>
      </c>
    </row>
    <row r="110" spans="45:48" x14ac:dyDescent="0.25">
      <c r="AS110">
        <f t="shared" si="26"/>
        <v>100</v>
      </c>
      <c r="AT110">
        <f t="shared" si="23"/>
        <v>0</v>
      </c>
      <c r="AU110">
        <f t="shared" si="24"/>
        <v>10</v>
      </c>
      <c r="AV110">
        <f t="shared" si="25"/>
        <v>-10</v>
      </c>
    </row>
    <row r="111" spans="45:48" x14ac:dyDescent="0.25">
      <c r="AS111">
        <f t="shared" si="26"/>
        <v>101</v>
      </c>
      <c r="AT111">
        <f t="shared" si="23"/>
        <v>0.10000000000000142</v>
      </c>
      <c r="AU111">
        <f t="shared" si="24"/>
        <v>9.9994999874993749</v>
      </c>
      <c r="AV111">
        <f t="shared" si="25"/>
        <v>-9.9994999874993749</v>
      </c>
    </row>
    <row r="112" spans="45:48" x14ac:dyDescent="0.25">
      <c r="AS112">
        <f t="shared" si="26"/>
        <v>102</v>
      </c>
      <c r="AT112">
        <f t="shared" si="23"/>
        <v>0.20000000000000107</v>
      </c>
      <c r="AU112">
        <f t="shared" si="24"/>
        <v>9.9979997999599899</v>
      </c>
      <c r="AV112">
        <f t="shared" si="25"/>
        <v>-9.9979997999599899</v>
      </c>
    </row>
    <row r="113" spans="45:48" x14ac:dyDescent="0.25">
      <c r="AS113">
        <f t="shared" si="26"/>
        <v>103</v>
      </c>
      <c r="AT113">
        <f t="shared" si="23"/>
        <v>0.30000000000000071</v>
      </c>
      <c r="AU113">
        <f t="shared" si="24"/>
        <v>9.9954989870441189</v>
      </c>
      <c r="AV113">
        <f t="shared" si="25"/>
        <v>-9.9954989870441189</v>
      </c>
    </row>
    <row r="114" spans="45:48" x14ac:dyDescent="0.25">
      <c r="AS114">
        <f t="shared" si="26"/>
        <v>104</v>
      </c>
      <c r="AT114">
        <f t="shared" si="23"/>
        <v>0.40000000000000036</v>
      </c>
      <c r="AU114">
        <f t="shared" si="24"/>
        <v>9.9919967974374373</v>
      </c>
      <c r="AV114">
        <f t="shared" si="25"/>
        <v>-9.9919967974374373</v>
      </c>
    </row>
    <row r="115" spans="45:48" x14ac:dyDescent="0.25">
      <c r="AS115">
        <f t="shared" si="26"/>
        <v>105</v>
      </c>
      <c r="AT115">
        <f t="shared" si="23"/>
        <v>0.5</v>
      </c>
      <c r="AU115">
        <f t="shared" si="24"/>
        <v>9.9874921777190888</v>
      </c>
      <c r="AV115">
        <f t="shared" si="25"/>
        <v>-9.9874921777190888</v>
      </c>
    </row>
    <row r="116" spans="45:48" x14ac:dyDescent="0.25">
      <c r="AS116">
        <f t="shared" si="26"/>
        <v>106</v>
      </c>
      <c r="AT116">
        <f t="shared" si="23"/>
        <v>0.60000000000000142</v>
      </c>
      <c r="AU116">
        <f t="shared" si="24"/>
        <v>9.9819837707742245</v>
      </c>
      <c r="AV116">
        <f t="shared" si="25"/>
        <v>-9.9819837707742245</v>
      </c>
    </row>
    <row r="117" spans="45:48" x14ac:dyDescent="0.25">
      <c r="AS117">
        <f t="shared" si="26"/>
        <v>107</v>
      </c>
      <c r="AT117">
        <f t="shared" si="23"/>
        <v>0.70000000000000107</v>
      </c>
      <c r="AU117">
        <f t="shared" si="24"/>
        <v>9.975469913743412</v>
      </c>
      <c r="AV117">
        <f t="shared" si="25"/>
        <v>-9.975469913743412</v>
      </c>
    </row>
    <row r="118" spans="45:48" x14ac:dyDescent="0.25">
      <c r="AS118">
        <f t="shared" si="26"/>
        <v>108</v>
      </c>
      <c r="AT118">
        <f t="shared" si="23"/>
        <v>0.80000000000000071</v>
      </c>
      <c r="AU118">
        <f t="shared" si="24"/>
        <v>9.9679486355016902</v>
      </c>
      <c r="AV118">
        <f t="shared" si="25"/>
        <v>-9.9679486355016902</v>
      </c>
    </row>
    <row r="119" spans="45:48" x14ac:dyDescent="0.25">
      <c r="AS119">
        <f t="shared" si="26"/>
        <v>109</v>
      </c>
      <c r="AT119">
        <f t="shared" si="23"/>
        <v>0.90000000000000036</v>
      </c>
      <c r="AU119">
        <f t="shared" si="24"/>
        <v>9.959417653658269</v>
      </c>
      <c r="AV119">
        <f t="shared" si="25"/>
        <v>-9.959417653658269</v>
      </c>
    </row>
    <row r="120" spans="45:48" x14ac:dyDescent="0.25">
      <c r="AS120">
        <f t="shared" si="26"/>
        <v>110</v>
      </c>
      <c r="AT120">
        <f t="shared" si="23"/>
        <v>1</v>
      </c>
      <c r="AU120">
        <f t="shared" si="24"/>
        <v>9.9498743710661994</v>
      </c>
      <c r="AV120">
        <f t="shared" si="25"/>
        <v>-9.9498743710661994</v>
      </c>
    </row>
    <row r="121" spans="45:48" x14ac:dyDescent="0.25">
      <c r="AS121">
        <f t="shared" si="26"/>
        <v>111</v>
      </c>
      <c r="AT121">
        <f t="shared" si="23"/>
        <v>1.1000000000000014</v>
      </c>
      <c r="AU121">
        <f t="shared" si="24"/>
        <v>9.9393158718294092</v>
      </c>
      <c r="AV121">
        <f t="shared" si="25"/>
        <v>-9.9393158718294092</v>
      </c>
    </row>
    <row r="122" spans="45:48" x14ac:dyDescent="0.25">
      <c r="AS122">
        <f t="shared" si="26"/>
        <v>112</v>
      </c>
      <c r="AT122">
        <f t="shared" si="23"/>
        <v>1.2000000000000011</v>
      </c>
      <c r="AU122">
        <f t="shared" si="24"/>
        <v>9.9277389167926859</v>
      </c>
      <c r="AV122">
        <f t="shared" si="25"/>
        <v>-9.9277389167926859</v>
      </c>
    </row>
    <row r="123" spans="45:48" x14ac:dyDescent="0.25">
      <c r="AS123">
        <f t="shared" si="26"/>
        <v>113</v>
      </c>
      <c r="AT123">
        <f t="shared" si="23"/>
        <v>1.3000000000000007</v>
      </c>
      <c r="AU123">
        <f t="shared" si="24"/>
        <v>9.9151399384980952</v>
      </c>
      <c r="AV123">
        <f t="shared" si="25"/>
        <v>-9.9151399384980952</v>
      </c>
    </row>
    <row r="124" spans="45:48" x14ac:dyDescent="0.25">
      <c r="AS124">
        <f t="shared" si="26"/>
        <v>114</v>
      </c>
      <c r="AT124">
        <f t="shared" si="23"/>
        <v>1.4000000000000004</v>
      </c>
      <c r="AU124">
        <f t="shared" si="24"/>
        <v>9.9015150355892505</v>
      </c>
      <c r="AV124">
        <f t="shared" si="25"/>
        <v>-9.9015150355892505</v>
      </c>
    </row>
    <row r="125" spans="45:48" x14ac:dyDescent="0.25">
      <c r="AS125">
        <f t="shared" si="26"/>
        <v>115</v>
      </c>
      <c r="AT125">
        <f t="shared" si="23"/>
        <v>1.5</v>
      </c>
      <c r="AU125">
        <f t="shared" si="24"/>
        <v>9.8868599666425947</v>
      </c>
      <c r="AV125">
        <f t="shared" si="25"/>
        <v>-9.8868599666425947</v>
      </c>
    </row>
    <row r="126" spans="45:48" x14ac:dyDescent="0.25">
      <c r="AS126">
        <f t="shared" si="26"/>
        <v>116</v>
      </c>
      <c r="AT126">
        <f t="shared" si="23"/>
        <v>1.6000000000000014</v>
      </c>
      <c r="AU126">
        <f t="shared" si="24"/>
        <v>9.8711701434024519</v>
      </c>
      <c r="AV126">
        <f t="shared" si="25"/>
        <v>-9.8711701434024519</v>
      </c>
    </row>
    <row r="127" spans="45:48" x14ac:dyDescent="0.25">
      <c r="AS127">
        <f t="shared" si="26"/>
        <v>117</v>
      </c>
      <c r="AT127">
        <f t="shared" si="23"/>
        <v>1.7000000000000011</v>
      </c>
      <c r="AU127">
        <f t="shared" si="24"/>
        <v>9.8544406233941046</v>
      </c>
      <c r="AV127">
        <f t="shared" si="25"/>
        <v>-9.8544406233941046</v>
      </c>
    </row>
    <row r="128" spans="45:48" x14ac:dyDescent="0.25">
      <c r="AS128">
        <f t="shared" si="26"/>
        <v>118</v>
      </c>
      <c r="AT128">
        <f t="shared" si="23"/>
        <v>1.8000000000000007</v>
      </c>
      <c r="AU128">
        <f t="shared" si="24"/>
        <v>9.8366661018863493</v>
      </c>
      <c r="AV128">
        <f t="shared" si="25"/>
        <v>-9.8366661018863493</v>
      </c>
    </row>
    <row r="129" spans="45:48" x14ac:dyDescent="0.25">
      <c r="AS129">
        <f t="shared" si="26"/>
        <v>119</v>
      </c>
      <c r="AT129">
        <f t="shared" si="23"/>
        <v>1.9000000000000004</v>
      </c>
      <c r="AU129">
        <f t="shared" si="24"/>
        <v>9.8178409031721436</v>
      </c>
      <c r="AV129">
        <f t="shared" si="25"/>
        <v>-9.8178409031721436</v>
      </c>
    </row>
    <row r="130" spans="45:48" x14ac:dyDescent="0.25">
      <c r="AS130">
        <f t="shared" si="26"/>
        <v>120</v>
      </c>
      <c r="AT130">
        <f t="shared" si="23"/>
        <v>2</v>
      </c>
      <c r="AU130">
        <f t="shared" si="24"/>
        <v>9.7979589711327115</v>
      </c>
      <c r="AV130">
        <f t="shared" si="25"/>
        <v>-9.7979589711327115</v>
      </c>
    </row>
    <row r="131" spans="45:48" x14ac:dyDescent="0.25">
      <c r="AS131">
        <f t="shared" si="26"/>
        <v>121</v>
      </c>
      <c r="AT131">
        <f t="shared" si="23"/>
        <v>2.1000000000000014</v>
      </c>
      <c r="AU131">
        <f t="shared" si="24"/>
        <v>9.7770138590471465</v>
      </c>
      <c r="AV131">
        <f t="shared" si="25"/>
        <v>-9.7770138590471465</v>
      </c>
    </row>
    <row r="132" spans="45:48" x14ac:dyDescent="0.25">
      <c r="AS132">
        <f t="shared" si="26"/>
        <v>122</v>
      </c>
      <c r="AT132">
        <f t="shared" si="23"/>
        <v>2.2000000000000011</v>
      </c>
      <c r="AU132">
        <f t="shared" si="24"/>
        <v>9.7549987186057585</v>
      </c>
      <c r="AV132">
        <f t="shared" si="25"/>
        <v>-9.7549987186057585</v>
      </c>
    </row>
    <row r="133" spans="45:48" x14ac:dyDescent="0.25">
      <c r="AS133">
        <f t="shared" si="26"/>
        <v>123</v>
      </c>
      <c r="AT133">
        <f t="shared" si="23"/>
        <v>2.3000000000000007</v>
      </c>
      <c r="AU133">
        <f t="shared" si="24"/>
        <v>9.7319062880814879</v>
      </c>
      <c r="AV133">
        <f t="shared" si="25"/>
        <v>-9.7319062880814879</v>
      </c>
    </row>
    <row r="134" spans="45:48" x14ac:dyDescent="0.25">
      <c r="AS134">
        <f t="shared" si="26"/>
        <v>124</v>
      </c>
      <c r="AT134">
        <f t="shared" si="23"/>
        <v>2.4000000000000004</v>
      </c>
      <c r="AU134">
        <f t="shared" si="24"/>
        <v>9.7077288796092773</v>
      </c>
      <c r="AV134">
        <f t="shared" si="25"/>
        <v>-9.7077288796092773</v>
      </c>
    </row>
    <row r="135" spans="45:48" x14ac:dyDescent="0.25">
      <c r="AS135">
        <f t="shared" si="26"/>
        <v>125</v>
      </c>
      <c r="AT135">
        <f t="shared" si="23"/>
        <v>2.5</v>
      </c>
      <c r="AU135">
        <f t="shared" si="24"/>
        <v>9.6824583655185421</v>
      </c>
      <c r="AV135">
        <f t="shared" si="25"/>
        <v>-9.6824583655185421</v>
      </c>
    </row>
    <row r="136" spans="45:48" x14ac:dyDescent="0.25">
      <c r="AS136">
        <f t="shared" si="26"/>
        <v>126</v>
      </c>
      <c r="AT136">
        <f t="shared" si="23"/>
        <v>2.6000000000000014</v>
      </c>
      <c r="AU136">
        <f t="shared" si="24"/>
        <v>9.6560861636586477</v>
      </c>
      <c r="AV136">
        <f t="shared" si="25"/>
        <v>-9.6560861636586477</v>
      </c>
    </row>
    <row r="137" spans="45:48" x14ac:dyDescent="0.25">
      <c r="AS137">
        <f t="shared" si="26"/>
        <v>127</v>
      </c>
      <c r="AT137">
        <f t="shared" si="23"/>
        <v>2.7000000000000011</v>
      </c>
      <c r="AU137">
        <f t="shared" si="24"/>
        <v>9.6286032216516215</v>
      </c>
      <c r="AV137">
        <f t="shared" si="25"/>
        <v>-9.6286032216516215</v>
      </c>
    </row>
    <row r="138" spans="45:48" x14ac:dyDescent="0.25">
      <c r="AS138">
        <f t="shared" si="26"/>
        <v>128</v>
      </c>
      <c r="AT138">
        <f t="shared" ref="AT138:AT201" si="27">-RCYCLE+AS138*STEP</f>
        <v>2.8000000000000007</v>
      </c>
      <c r="AU138">
        <f t="shared" ref="AU138:AU201" si="28">yc+SQRT(RCYCLE^2-(AT138-xc)^2)</f>
        <v>9.6</v>
      </c>
      <c r="AV138">
        <f t="shared" ref="AV138:AV201" si="29">yc-SQRT(RCYCLE^2-(AT138-xc)^2)</f>
        <v>-9.6</v>
      </c>
    </row>
    <row r="139" spans="45:48" x14ac:dyDescent="0.25">
      <c r="AS139">
        <f t="shared" ref="AS139:AS202" si="30">AS138+1</f>
        <v>129</v>
      </c>
      <c r="AT139">
        <f t="shared" si="27"/>
        <v>2.9000000000000004</v>
      </c>
      <c r="AU139">
        <f t="shared" si="28"/>
        <v>9.5702664539708611</v>
      </c>
      <c r="AV139">
        <f t="shared" si="29"/>
        <v>-9.5702664539708611</v>
      </c>
    </row>
    <row r="140" spans="45:48" x14ac:dyDescent="0.25">
      <c r="AS140">
        <f t="shared" si="30"/>
        <v>130</v>
      </c>
      <c r="AT140">
        <f t="shared" si="27"/>
        <v>3</v>
      </c>
      <c r="AU140">
        <f t="shared" si="28"/>
        <v>9.5393920141694561</v>
      </c>
      <c r="AV140">
        <f t="shared" si="29"/>
        <v>-9.5393920141694561</v>
      </c>
    </row>
    <row r="141" spans="45:48" x14ac:dyDescent="0.25">
      <c r="AS141">
        <f t="shared" si="30"/>
        <v>131</v>
      </c>
      <c r="AT141">
        <f t="shared" si="27"/>
        <v>3.1000000000000014</v>
      </c>
      <c r="AU141">
        <f t="shared" si="28"/>
        <v>9.5073655657074632</v>
      </c>
      <c r="AV141">
        <f t="shared" si="29"/>
        <v>-9.5073655657074632</v>
      </c>
    </row>
    <row r="142" spans="45:48" x14ac:dyDescent="0.25">
      <c r="AS142">
        <f t="shared" si="30"/>
        <v>132</v>
      </c>
      <c r="AT142">
        <f t="shared" si="27"/>
        <v>3.2000000000000011</v>
      </c>
      <c r="AU142">
        <f t="shared" si="28"/>
        <v>9.474175425861608</v>
      </c>
      <c r="AV142">
        <f t="shared" si="29"/>
        <v>-9.474175425861608</v>
      </c>
    </row>
    <row r="143" spans="45:48" x14ac:dyDescent="0.25">
      <c r="AS143">
        <f t="shared" si="30"/>
        <v>133</v>
      </c>
      <c r="AT143">
        <f t="shared" si="27"/>
        <v>3.3000000000000007</v>
      </c>
      <c r="AU143">
        <f t="shared" si="28"/>
        <v>9.4398093201081128</v>
      </c>
      <c r="AV143">
        <f t="shared" si="29"/>
        <v>-9.4398093201081128</v>
      </c>
    </row>
    <row r="144" spans="45:48" x14ac:dyDescent="0.25">
      <c r="AS144">
        <f t="shared" si="30"/>
        <v>134</v>
      </c>
      <c r="AT144">
        <f t="shared" si="27"/>
        <v>3.4000000000000004</v>
      </c>
      <c r="AU144">
        <f t="shared" si="28"/>
        <v>9.404254356406998</v>
      </c>
      <c r="AV144">
        <f t="shared" si="29"/>
        <v>-9.404254356406998</v>
      </c>
    </row>
    <row r="145" spans="45:48" x14ac:dyDescent="0.25">
      <c r="AS145">
        <f t="shared" si="30"/>
        <v>135</v>
      </c>
      <c r="AT145">
        <f t="shared" si="27"/>
        <v>3.5</v>
      </c>
      <c r="AU145">
        <f t="shared" si="28"/>
        <v>9.3674969975975966</v>
      </c>
      <c r="AV145">
        <f t="shared" si="29"/>
        <v>-9.3674969975975966</v>
      </c>
    </row>
    <row r="146" spans="45:48" x14ac:dyDescent="0.25">
      <c r="AS146">
        <f t="shared" si="30"/>
        <v>136</v>
      </c>
      <c r="AT146">
        <f t="shared" si="27"/>
        <v>3.6000000000000014</v>
      </c>
      <c r="AU146">
        <f t="shared" si="28"/>
        <v>9.3295230317524798</v>
      </c>
      <c r="AV146">
        <f t="shared" si="29"/>
        <v>-9.3295230317524798</v>
      </c>
    </row>
    <row r="147" spans="45:48" x14ac:dyDescent="0.25">
      <c r="AS147">
        <f t="shared" si="30"/>
        <v>137</v>
      </c>
      <c r="AT147">
        <f t="shared" si="27"/>
        <v>3.7000000000000011</v>
      </c>
      <c r="AU147">
        <f t="shared" si="28"/>
        <v>9.2903175403212135</v>
      </c>
      <c r="AV147">
        <f t="shared" si="29"/>
        <v>-9.2903175403212135</v>
      </c>
    </row>
    <row r="148" spans="45:48" x14ac:dyDescent="0.25">
      <c r="AS148">
        <f t="shared" si="30"/>
        <v>138</v>
      </c>
      <c r="AT148">
        <f t="shared" si="27"/>
        <v>3.8000000000000007</v>
      </c>
      <c r="AU148">
        <f t="shared" si="28"/>
        <v>9.2498648638777414</v>
      </c>
      <c r="AV148">
        <f t="shared" si="29"/>
        <v>-9.2498648638777414</v>
      </c>
    </row>
    <row r="149" spans="45:48" x14ac:dyDescent="0.25">
      <c r="AS149">
        <f t="shared" si="30"/>
        <v>139</v>
      </c>
      <c r="AT149">
        <f t="shared" si="27"/>
        <v>3.9000000000000004</v>
      </c>
      <c r="AU149">
        <f t="shared" si="28"/>
        <v>9.2081485652654411</v>
      </c>
      <c r="AV149">
        <f t="shared" si="29"/>
        <v>-9.2081485652654411</v>
      </c>
    </row>
    <row r="150" spans="45:48" x14ac:dyDescent="0.25">
      <c r="AS150">
        <f t="shared" si="30"/>
        <v>140</v>
      </c>
      <c r="AT150">
        <f t="shared" si="27"/>
        <v>4</v>
      </c>
      <c r="AU150">
        <f t="shared" si="28"/>
        <v>9.1651513899116797</v>
      </c>
      <c r="AV150">
        <f t="shared" si="29"/>
        <v>-9.1651513899116797</v>
      </c>
    </row>
    <row r="151" spans="45:48" x14ac:dyDescent="0.25">
      <c r="AS151">
        <f t="shared" si="30"/>
        <v>141</v>
      </c>
      <c r="AT151">
        <f t="shared" si="27"/>
        <v>4.1000000000000014</v>
      </c>
      <c r="AU151">
        <f t="shared" si="28"/>
        <v>9.1208552230588538</v>
      </c>
      <c r="AV151">
        <f t="shared" si="29"/>
        <v>-9.1208552230588538</v>
      </c>
    </row>
    <row r="152" spans="45:48" x14ac:dyDescent="0.25">
      <c r="AS152">
        <f t="shared" si="30"/>
        <v>142</v>
      </c>
      <c r="AT152">
        <f t="shared" si="27"/>
        <v>4.2000000000000011</v>
      </c>
      <c r="AU152">
        <f t="shared" si="28"/>
        <v>9.0752410436307418</v>
      </c>
      <c r="AV152">
        <f t="shared" si="29"/>
        <v>-9.0752410436307418</v>
      </c>
    </row>
    <row r="153" spans="45:48" x14ac:dyDescent="0.25">
      <c r="AS153">
        <f t="shared" si="30"/>
        <v>143</v>
      </c>
      <c r="AT153">
        <f t="shared" si="27"/>
        <v>4.3000000000000007</v>
      </c>
      <c r="AU153">
        <f t="shared" si="28"/>
        <v>9.0282888744213317</v>
      </c>
      <c r="AV153">
        <f t="shared" si="29"/>
        <v>-9.0282888744213317</v>
      </c>
    </row>
    <row r="154" spans="45:48" x14ac:dyDescent="0.25">
      <c r="AS154">
        <f t="shared" si="30"/>
        <v>144</v>
      </c>
      <c r="AT154">
        <f t="shared" si="27"/>
        <v>4.4000000000000004</v>
      </c>
      <c r="AU154">
        <f t="shared" si="28"/>
        <v>8.9799777282574595</v>
      </c>
      <c r="AV154">
        <f t="shared" si="29"/>
        <v>-8.9799777282574595</v>
      </c>
    </row>
    <row r="155" spans="45:48" x14ac:dyDescent="0.25">
      <c r="AS155">
        <f t="shared" si="30"/>
        <v>145</v>
      </c>
      <c r="AT155">
        <f t="shared" si="27"/>
        <v>4.5</v>
      </c>
      <c r="AU155">
        <f t="shared" si="28"/>
        <v>8.9302855497458751</v>
      </c>
      <c r="AV155">
        <f t="shared" si="29"/>
        <v>-8.9302855497458751</v>
      </c>
    </row>
    <row r="156" spans="45:48" x14ac:dyDescent="0.25">
      <c r="AS156">
        <f t="shared" si="30"/>
        <v>146</v>
      </c>
      <c r="AT156">
        <f t="shared" si="27"/>
        <v>4.6000000000000014</v>
      </c>
      <c r="AU156">
        <f t="shared" si="28"/>
        <v>8.8791891521692445</v>
      </c>
      <c r="AV156">
        <f t="shared" si="29"/>
        <v>-8.8791891521692445</v>
      </c>
    </row>
    <row r="157" spans="45:48" x14ac:dyDescent="0.25">
      <c r="AS157">
        <f t="shared" si="30"/>
        <v>147</v>
      </c>
      <c r="AT157">
        <f t="shared" si="27"/>
        <v>4.7000000000000011</v>
      </c>
      <c r="AU157">
        <f t="shared" si="28"/>
        <v>8.8266641490429443</v>
      </c>
      <c r="AV157">
        <f t="shared" si="29"/>
        <v>-8.8266641490429443</v>
      </c>
    </row>
    <row r="158" spans="45:48" x14ac:dyDescent="0.25">
      <c r="AS158">
        <f t="shared" si="30"/>
        <v>148</v>
      </c>
      <c r="AT158">
        <f t="shared" si="27"/>
        <v>4.8000000000000007</v>
      </c>
      <c r="AU158">
        <f t="shared" si="28"/>
        <v>8.7726848797845225</v>
      </c>
      <c r="AV158">
        <f t="shared" si="29"/>
        <v>-8.7726848797845225</v>
      </c>
    </row>
    <row r="159" spans="45:48" x14ac:dyDescent="0.25">
      <c r="AS159">
        <f t="shared" si="30"/>
        <v>149</v>
      </c>
      <c r="AT159">
        <f t="shared" si="27"/>
        <v>4.9000000000000004</v>
      </c>
      <c r="AU159">
        <f t="shared" si="28"/>
        <v>8.7172243288790039</v>
      </c>
      <c r="AV159">
        <f t="shared" si="29"/>
        <v>-8.7172243288790039</v>
      </c>
    </row>
    <row r="160" spans="45:48" x14ac:dyDescent="0.25">
      <c r="AS160">
        <f t="shared" si="30"/>
        <v>150</v>
      </c>
      <c r="AT160">
        <f t="shared" si="27"/>
        <v>5</v>
      </c>
      <c r="AU160">
        <f t="shared" si="28"/>
        <v>8.6602540378443873</v>
      </c>
      <c r="AV160">
        <f t="shared" si="29"/>
        <v>-8.6602540378443873</v>
      </c>
    </row>
    <row r="161" spans="45:48" x14ac:dyDescent="0.25">
      <c r="AS161">
        <f t="shared" si="30"/>
        <v>151</v>
      </c>
      <c r="AT161">
        <f t="shared" si="27"/>
        <v>5.1000000000000014</v>
      </c>
      <c r="AU161">
        <f t="shared" si="28"/>
        <v>8.6017440092111546</v>
      </c>
      <c r="AV161">
        <f t="shared" si="29"/>
        <v>-8.6017440092111546</v>
      </c>
    </row>
    <row r="162" spans="45:48" x14ac:dyDescent="0.25">
      <c r="AS162">
        <f t="shared" si="30"/>
        <v>152</v>
      </c>
      <c r="AT162">
        <f t="shared" si="27"/>
        <v>5.2000000000000011</v>
      </c>
      <c r="AU162">
        <f t="shared" si="28"/>
        <v>8.541662601625049</v>
      </c>
      <c r="AV162">
        <f t="shared" si="29"/>
        <v>-8.541662601625049</v>
      </c>
    </row>
    <row r="163" spans="45:48" x14ac:dyDescent="0.25">
      <c r="AS163">
        <f t="shared" si="30"/>
        <v>153</v>
      </c>
      <c r="AT163">
        <f t="shared" si="27"/>
        <v>5.3000000000000007</v>
      </c>
      <c r="AU163">
        <f t="shared" si="28"/>
        <v>8.4799764150615413</v>
      </c>
      <c r="AV163">
        <f t="shared" si="29"/>
        <v>-8.4799764150615413</v>
      </c>
    </row>
    <row r="164" spans="45:48" x14ac:dyDescent="0.25">
      <c r="AS164">
        <f t="shared" si="30"/>
        <v>154</v>
      </c>
      <c r="AT164">
        <f t="shared" si="27"/>
        <v>5.4</v>
      </c>
      <c r="AU164">
        <f t="shared" si="28"/>
        <v>8.4166501650003251</v>
      </c>
      <c r="AV164">
        <f t="shared" si="29"/>
        <v>-8.4166501650003251</v>
      </c>
    </row>
    <row r="165" spans="45:48" x14ac:dyDescent="0.25">
      <c r="AS165">
        <f t="shared" si="30"/>
        <v>155</v>
      </c>
      <c r="AT165">
        <f t="shared" si="27"/>
        <v>5.5</v>
      </c>
      <c r="AU165">
        <f t="shared" si="28"/>
        <v>8.3516465442450336</v>
      </c>
      <c r="AV165">
        <f t="shared" si="29"/>
        <v>-8.3516465442450336</v>
      </c>
    </row>
    <row r="166" spans="45:48" x14ac:dyDescent="0.25">
      <c r="AS166">
        <f t="shared" si="30"/>
        <v>156</v>
      </c>
      <c r="AT166">
        <f t="shared" si="27"/>
        <v>5.6000000000000014</v>
      </c>
      <c r="AU166">
        <f t="shared" si="28"/>
        <v>8.2849260708831913</v>
      </c>
      <c r="AV166">
        <f t="shared" si="29"/>
        <v>-8.2849260708831913</v>
      </c>
    </row>
    <row r="167" spans="45:48" x14ac:dyDescent="0.25">
      <c r="AS167">
        <f t="shared" si="30"/>
        <v>157</v>
      </c>
      <c r="AT167">
        <f t="shared" si="27"/>
        <v>5.7000000000000011</v>
      </c>
      <c r="AU167">
        <f t="shared" si="28"/>
        <v>8.2164469206585871</v>
      </c>
      <c r="AV167">
        <f t="shared" si="29"/>
        <v>-8.2164469206585871</v>
      </c>
    </row>
    <row r="168" spans="45:48" x14ac:dyDescent="0.25">
      <c r="AS168">
        <f t="shared" si="30"/>
        <v>158</v>
      </c>
      <c r="AT168">
        <f t="shared" si="27"/>
        <v>5.8000000000000007</v>
      </c>
      <c r="AU168">
        <f t="shared" si="28"/>
        <v>8.1461647417665191</v>
      </c>
      <c r="AV168">
        <f t="shared" si="29"/>
        <v>-8.1461647417665191</v>
      </c>
    </row>
    <row r="169" spans="45:48" x14ac:dyDescent="0.25">
      <c r="AS169">
        <f t="shared" si="30"/>
        <v>159</v>
      </c>
      <c r="AT169">
        <f t="shared" si="27"/>
        <v>5.9</v>
      </c>
      <c r="AU169">
        <f t="shared" si="28"/>
        <v>8.0740324497737799</v>
      </c>
      <c r="AV169">
        <f t="shared" si="29"/>
        <v>-8.0740324497737799</v>
      </c>
    </row>
    <row r="170" spans="45:48" x14ac:dyDescent="0.25">
      <c r="AS170">
        <f t="shared" si="30"/>
        <v>160</v>
      </c>
      <c r="AT170">
        <f t="shared" si="27"/>
        <v>6</v>
      </c>
      <c r="AU170">
        <f t="shared" si="28"/>
        <v>8</v>
      </c>
      <c r="AV170">
        <f t="shared" si="29"/>
        <v>-8</v>
      </c>
    </row>
    <row r="171" spans="45:48" x14ac:dyDescent="0.25">
      <c r="AS171">
        <f t="shared" si="30"/>
        <v>161</v>
      </c>
      <c r="AT171">
        <f t="shared" si="27"/>
        <v>6.1000000000000014</v>
      </c>
      <c r="AU171">
        <f t="shared" si="28"/>
        <v>7.9240141342630119</v>
      </c>
      <c r="AV171">
        <f t="shared" si="29"/>
        <v>-7.9240141342630119</v>
      </c>
    </row>
    <row r="172" spans="45:48" x14ac:dyDescent="0.25">
      <c r="AS172">
        <f t="shared" si="30"/>
        <v>162</v>
      </c>
      <c r="AT172">
        <f t="shared" si="27"/>
        <v>6.1999999999999993</v>
      </c>
      <c r="AU172">
        <f t="shared" si="28"/>
        <v>7.8460180983732126</v>
      </c>
      <c r="AV172">
        <f t="shared" si="29"/>
        <v>-7.8460180983732126</v>
      </c>
    </row>
    <row r="173" spans="45:48" x14ac:dyDescent="0.25">
      <c r="AS173">
        <f t="shared" si="30"/>
        <v>163</v>
      </c>
      <c r="AT173">
        <f t="shared" si="27"/>
        <v>6.3000000000000007</v>
      </c>
      <c r="AU173">
        <f t="shared" si="28"/>
        <v>7.7659513261415682</v>
      </c>
      <c r="AV173">
        <f t="shared" si="29"/>
        <v>-7.7659513261415682</v>
      </c>
    </row>
    <row r="174" spans="45:48" x14ac:dyDescent="0.25">
      <c r="AS174">
        <f t="shared" si="30"/>
        <v>164</v>
      </c>
      <c r="AT174">
        <f t="shared" si="27"/>
        <v>6.4000000000000021</v>
      </c>
      <c r="AU174">
        <f t="shared" si="28"/>
        <v>7.6837490849194161</v>
      </c>
      <c r="AV174">
        <f t="shared" si="29"/>
        <v>-7.6837490849194161</v>
      </c>
    </row>
    <row r="175" spans="45:48" x14ac:dyDescent="0.25">
      <c r="AS175">
        <f t="shared" si="30"/>
        <v>165</v>
      </c>
      <c r="AT175">
        <f t="shared" si="27"/>
        <v>6.5</v>
      </c>
      <c r="AU175">
        <f t="shared" si="28"/>
        <v>7.5993420767853319</v>
      </c>
      <c r="AV175">
        <f t="shared" si="29"/>
        <v>-7.5993420767853319</v>
      </c>
    </row>
    <row r="176" spans="45:48" x14ac:dyDescent="0.25">
      <c r="AS176">
        <f t="shared" si="30"/>
        <v>166</v>
      </c>
      <c r="AT176">
        <f t="shared" si="27"/>
        <v>6.6000000000000014</v>
      </c>
      <c r="AU176">
        <f t="shared" si="28"/>
        <v>7.512655988397178</v>
      </c>
      <c r="AV176">
        <f t="shared" si="29"/>
        <v>-7.512655988397178</v>
      </c>
    </row>
    <row r="177" spans="45:48" x14ac:dyDescent="0.25">
      <c r="AS177">
        <f t="shared" si="30"/>
        <v>167</v>
      </c>
      <c r="AT177">
        <f t="shared" si="27"/>
        <v>6.6999999999999993</v>
      </c>
      <c r="AU177">
        <f t="shared" si="28"/>
        <v>7.4236109811869859</v>
      </c>
      <c r="AV177">
        <f t="shared" si="29"/>
        <v>-7.4236109811869859</v>
      </c>
    </row>
    <row r="178" spans="45:48" x14ac:dyDescent="0.25">
      <c r="AS178">
        <f t="shared" si="30"/>
        <v>168</v>
      </c>
      <c r="AT178">
        <f t="shared" si="27"/>
        <v>6.8000000000000007</v>
      </c>
      <c r="AU178">
        <f t="shared" si="28"/>
        <v>7.332121111929343</v>
      </c>
      <c r="AV178">
        <f t="shared" si="29"/>
        <v>-7.332121111929343</v>
      </c>
    </row>
    <row r="179" spans="45:48" x14ac:dyDescent="0.25">
      <c r="AS179">
        <f t="shared" si="30"/>
        <v>169</v>
      </c>
      <c r="AT179">
        <f t="shared" si="27"/>
        <v>6.9000000000000021</v>
      </c>
      <c r="AU179">
        <f t="shared" si="28"/>
        <v>7.2380936716790263</v>
      </c>
      <c r="AV179">
        <f t="shared" si="29"/>
        <v>-7.2380936716790263</v>
      </c>
    </row>
    <row r="180" spans="45:48" x14ac:dyDescent="0.25">
      <c r="AS180">
        <f t="shared" si="30"/>
        <v>170</v>
      </c>
      <c r="AT180">
        <f t="shared" si="27"/>
        <v>7</v>
      </c>
      <c r="AU180">
        <f t="shared" si="28"/>
        <v>7.1414284285428504</v>
      </c>
      <c r="AV180">
        <f t="shared" si="29"/>
        <v>-7.1414284285428504</v>
      </c>
    </row>
    <row r="181" spans="45:48" x14ac:dyDescent="0.25">
      <c r="AS181">
        <f t="shared" si="30"/>
        <v>171</v>
      </c>
      <c r="AT181">
        <f t="shared" si="27"/>
        <v>7.1000000000000014</v>
      </c>
      <c r="AU181">
        <f t="shared" si="28"/>
        <v>7.0420167565833003</v>
      </c>
      <c r="AV181">
        <f t="shared" si="29"/>
        <v>-7.0420167565833003</v>
      </c>
    </row>
    <row r="182" spans="45:48" x14ac:dyDescent="0.25">
      <c r="AS182">
        <f t="shared" si="30"/>
        <v>172</v>
      </c>
      <c r="AT182">
        <f t="shared" si="27"/>
        <v>7.1999999999999993</v>
      </c>
      <c r="AU182">
        <f t="shared" si="28"/>
        <v>6.9397406291589894</v>
      </c>
      <c r="AV182">
        <f t="shared" si="29"/>
        <v>-6.9397406291589894</v>
      </c>
    </row>
    <row r="183" spans="45:48" x14ac:dyDescent="0.25">
      <c r="AS183">
        <f t="shared" si="30"/>
        <v>173</v>
      </c>
      <c r="AT183">
        <f t="shared" si="27"/>
        <v>7.3000000000000007</v>
      </c>
      <c r="AU183">
        <f t="shared" si="28"/>
        <v>6.834471449936709</v>
      </c>
      <c r="AV183">
        <f t="shared" si="29"/>
        <v>-6.834471449936709</v>
      </c>
    </row>
    <row r="184" spans="45:48" x14ac:dyDescent="0.25">
      <c r="AS184">
        <f t="shared" si="30"/>
        <v>174</v>
      </c>
      <c r="AT184">
        <f t="shared" si="27"/>
        <v>7.4000000000000021</v>
      </c>
      <c r="AU184">
        <f t="shared" si="28"/>
        <v>6.7260686883200922</v>
      </c>
      <c r="AV184">
        <f t="shared" si="29"/>
        <v>-6.7260686883200922</v>
      </c>
    </row>
    <row r="185" spans="45:48" x14ac:dyDescent="0.25">
      <c r="AS185">
        <f t="shared" si="30"/>
        <v>175</v>
      </c>
      <c r="AT185">
        <f t="shared" si="27"/>
        <v>7.5</v>
      </c>
      <c r="AU185">
        <f t="shared" si="28"/>
        <v>6.6143782776614763</v>
      </c>
      <c r="AV185">
        <f t="shared" si="29"/>
        <v>-6.6143782776614763</v>
      </c>
    </row>
    <row r="186" spans="45:48" x14ac:dyDescent="0.25">
      <c r="AS186">
        <f t="shared" si="30"/>
        <v>176</v>
      </c>
      <c r="AT186">
        <f t="shared" si="27"/>
        <v>7.6000000000000014</v>
      </c>
      <c r="AU186">
        <f t="shared" si="28"/>
        <v>6.4992307237087665</v>
      </c>
      <c r="AV186">
        <f t="shared" si="29"/>
        <v>-6.4992307237087665</v>
      </c>
    </row>
    <row r="187" spans="45:48" x14ac:dyDescent="0.25">
      <c r="AS187">
        <f t="shared" si="30"/>
        <v>177</v>
      </c>
      <c r="AT187">
        <f t="shared" si="27"/>
        <v>7.6999999999999993</v>
      </c>
      <c r="AU187">
        <f t="shared" si="28"/>
        <v>6.3804388563797092</v>
      </c>
      <c r="AV187">
        <f t="shared" si="29"/>
        <v>-6.3804388563797092</v>
      </c>
    </row>
    <row r="188" spans="45:48" x14ac:dyDescent="0.25">
      <c r="AS188">
        <f t="shared" si="30"/>
        <v>178</v>
      </c>
      <c r="AT188">
        <f t="shared" si="27"/>
        <v>7.8000000000000007</v>
      </c>
      <c r="AU188">
        <f t="shared" si="28"/>
        <v>6.2577951388648057</v>
      </c>
      <c r="AV188">
        <f t="shared" si="29"/>
        <v>-6.2577951388648057</v>
      </c>
    </row>
    <row r="189" spans="45:48" x14ac:dyDescent="0.25">
      <c r="AS189">
        <f t="shared" si="30"/>
        <v>179</v>
      </c>
      <c r="AT189">
        <f t="shared" si="27"/>
        <v>7.9000000000000021</v>
      </c>
      <c r="AU189">
        <f t="shared" si="28"/>
        <v>6.1310684223877301</v>
      </c>
      <c r="AV189">
        <f t="shared" si="29"/>
        <v>-6.1310684223877301</v>
      </c>
    </row>
    <row r="190" spans="45:48" x14ac:dyDescent="0.25">
      <c r="AS190">
        <f t="shared" si="30"/>
        <v>180</v>
      </c>
      <c r="AT190">
        <f t="shared" si="27"/>
        <v>8</v>
      </c>
      <c r="AU190">
        <f t="shared" si="28"/>
        <v>6</v>
      </c>
      <c r="AV190">
        <f t="shared" si="29"/>
        <v>-6</v>
      </c>
    </row>
    <row r="191" spans="45:48" x14ac:dyDescent="0.25">
      <c r="AS191">
        <f t="shared" si="30"/>
        <v>181</v>
      </c>
      <c r="AT191">
        <f t="shared" si="27"/>
        <v>8.1000000000000014</v>
      </c>
      <c r="AU191">
        <f t="shared" si="28"/>
        <v>5.8642987645582973</v>
      </c>
      <c r="AV191">
        <f t="shared" si="29"/>
        <v>-5.8642987645582973</v>
      </c>
    </row>
    <row r="192" spans="45:48" x14ac:dyDescent="0.25">
      <c r="AS192">
        <f t="shared" si="30"/>
        <v>182</v>
      </c>
      <c r="AT192">
        <f t="shared" si="27"/>
        <v>8.1999999999999993</v>
      </c>
      <c r="AU192">
        <f t="shared" si="28"/>
        <v>5.7236352085016744</v>
      </c>
      <c r="AV192">
        <f t="shared" si="29"/>
        <v>-5.7236352085016744</v>
      </c>
    </row>
    <row r="193" spans="45:48" x14ac:dyDescent="0.25">
      <c r="AS193">
        <f t="shared" si="30"/>
        <v>183</v>
      </c>
      <c r="AT193">
        <f t="shared" si="27"/>
        <v>8.3000000000000007</v>
      </c>
      <c r="AU193">
        <f t="shared" si="28"/>
        <v>5.5776339069537348</v>
      </c>
      <c r="AV193">
        <f t="shared" si="29"/>
        <v>-5.5776339069537348</v>
      </c>
    </row>
    <row r="194" spans="45:48" x14ac:dyDescent="0.25">
      <c r="AS194">
        <f t="shared" si="30"/>
        <v>184</v>
      </c>
      <c r="AT194">
        <f t="shared" si="27"/>
        <v>8.4000000000000021</v>
      </c>
      <c r="AU194">
        <f t="shared" si="28"/>
        <v>5.4258639865002118</v>
      </c>
      <c r="AV194">
        <f t="shared" si="29"/>
        <v>-5.4258639865002118</v>
      </c>
    </row>
    <row r="195" spans="45:48" x14ac:dyDescent="0.25">
      <c r="AS195">
        <f t="shared" si="30"/>
        <v>185</v>
      </c>
      <c r="AT195">
        <f t="shared" si="27"/>
        <v>8.5</v>
      </c>
      <c r="AU195">
        <f t="shared" si="28"/>
        <v>5.2678268764263692</v>
      </c>
      <c r="AV195">
        <f t="shared" si="29"/>
        <v>-5.2678268764263692</v>
      </c>
    </row>
    <row r="196" spans="45:48" x14ac:dyDescent="0.25">
      <c r="AS196">
        <f t="shared" si="30"/>
        <v>186</v>
      </c>
      <c r="AT196">
        <f t="shared" si="27"/>
        <v>8.6000000000000014</v>
      </c>
      <c r="AU196">
        <f t="shared" si="28"/>
        <v>5.1029403288692272</v>
      </c>
      <c r="AV196">
        <f t="shared" si="29"/>
        <v>-5.1029403288692272</v>
      </c>
    </row>
    <row r="197" spans="45:48" x14ac:dyDescent="0.25">
      <c r="AS197">
        <f t="shared" si="30"/>
        <v>187</v>
      </c>
      <c r="AT197">
        <f t="shared" si="27"/>
        <v>8.6999999999999993</v>
      </c>
      <c r="AU197">
        <f t="shared" si="28"/>
        <v>4.9305172142484217</v>
      </c>
      <c r="AV197">
        <f t="shared" si="29"/>
        <v>-4.9305172142484217</v>
      </c>
    </row>
    <row r="198" spans="45:48" x14ac:dyDescent="0.25">
      <c r="AS198">
        <f t="shared" si="30"/>
        <v>188</v>
      </c>
      <c r="AT198">
        <f t="shared" si="27"/>
        <v>8.8000000000000007</v>
      </c>
      <c r="AU198">
        <f t="shared" si="28"/>
        <v>4.7497368348151658</v>
      </c>
      <c r="AV198">
        <f t="shared" si="29"/>
        <v>-4.7497368348151658</v>
      </c>
    </row>
    <row r="199" spans="45:48" x14ac:dyDescent="0.25">
      <c r="AS199">
        <f t="shared" si="30"/>
        <v>189</v>
      </c>
      <c r="AT199">
        <f t="shared" si="27"/>
        <v>8.9000000000000021</v>
      </c>
      <c r="AU199">
        <f t="shared" si="28"/>
        <v>4.5596052460711949</v>
      </c>
      <c r="AV199">
        <f t="shared" si="29"/>
        <v>-4.5596052460711949</v>
      </c>
    </row>
    <row r="200" spans="45:48" x14ac:dyDescent="0.25">
      <c r="AS200">
        <f t="shared" si="30"/>
        <v>190</v>
      </c>
      <c r="AT200">
        <f t="shared" si="27"/>
        <v>9</v>
      </c>
      <c r="AU200">
        <f t="shared" si="28"/>
        <v>4.358898943540674</v>
      </c>
      <c r="AV200">
        <f t="shared" si="29"/>
        <v>-4.358898943540674</v>
      </c>
    </row>
    <row r="201" spans="45:48" x14ac:dyDescent="0.25">
      <c r="AS201">
        <f t="shared" si="30"/>
        <v>191</v>
      </c>
      <c r="AT201">
        <f t="shared" si="27"/>
        <v>9.1000000000000014</v>
      </c>
      <c r="AU201">
        <f t="shared" si="28"/>
        <v>4.1460824883255727</v>
      </c>
      <c r="AV201">
        <f t="shared" si="29"/>
        <v>-4.1460824883255727</v>
      </c>
    </row>
    <row r="202" spans="45:48" x14ac:dyDescent="0.25">
      <c r="AS202">
        <f t="shared" si="30"/>
        <v>192</v>
      </c>
      <c r="AT202">
        <f t="shared" ref="AT202:AT210" si="31">-RCYCLE+AS202*STEP</f>
        <v>9.2000000000000028</v>
      </c>
      <c r="AU202">
        <f t="shared" ref="AU202:AU210" si="32">yc+SQRT(RCYCLE^2-(AT202-xc)^2)</f>
        <v>3.9191835884530777</v>
      </c>
      <c r="AV202">
        <f t="shared" ref="AV202:AV210" si="33">yc-SQRT(RCYCLE^2-(AT202-xc)^2)</f>
        <v>-3.9191835884530777</v>
      </c>
    </row>
    <row r="203" spans="45:48" x14ac:dyDescent="0.25">
      <c r="AS203">
        <f t="shared" ref="AS203:AS210" si="34">AS202+1</f>
        <v>193</v>
      </c>
      <c r="AT203">
        <f t="shared" si="31"/>
        <v>9.3000000000000007</v>
      </c>
      <c r="AU203">
        <f t="shared" si="32"/>
        <v>3.6755951898978201</v>
      </c>
      <c r="AV203">
        <f t="shared" si="33"/>
        <v>-3.6755951898978201</v>
      </c>
    </row>
    <row r="204" spans="45:48" x14ac:dyDescent="0.25">
      <c r="AS204">
        <f t="shared" si="34"/>
        <v>194</v>
      </c>
      <c r="AT204">
        <f t="shared" si="31"/>
        <v>9.4000000000000021</v>
      </c>
      <c r="AU204">
        <f t="shared" si="32"/>
        <v>3.4117444218463899</v>
      </c>
      <c r="AV204">
        <f t="shared" si="33"/>
        <v>-3.4117444218463899</v>
      </c>
    </row>
    <row r="205" spans="45:48" x14ac:dyDescent="0.25">
      <c r="AS205">
        <f t="shared" si="34"/>
        <v>195</v>
      </c>
      <c r="AT205">
        <f t="shared" si="31"/>
        <v>9.5</v>
      </c>
      <c r="AU205">
        <f t="shared" si="32"/>
        <v>3.1224989991991992</v>
      </c>
      <c r="AV205">
        <f t="shared" si="33"/>
        <v>-3.1224989991991992</v>
      </c>
    </row>
    <row r="206" spans="45:48" x14ac:dyDescent="0.25">
      <c r="AS206">
        <f t="shared" si="34"/>
        <v>196</v>
      </c>
      <c r="AT206">
        <f t="shared" si="31"/>
        <v>9.6000000000000014</v>
      </c>
      <c r="AU206">
        <f t="shared" si="32"/>
        <v>2.7999999999999954</v>
      </c>
      <c r="AV206">
        <f t="shared" si="33"/>
        <v>-2.7999999999999954</v>
      </c>
    </row>
    <row r="207" spans="45:48" x14ac:dyDescent="0.25">
      <c r="AS207">
        <f t="shared" si="34"/>
        <v>197</v>
      </c>
      <c r="AT207">
        <f t="shared" si="31"/>
        <v>9.7000000000000028</v>
      </c>
      <c r="AU207">
        <f t="shared" si="32"/>
        <v>2.4310491562286312</v>
      </c>
      <c r="AV207">
        <f t="shared" si="33"/>
        <v>-2.4310491562286312</v>
      </c>
    </row>
    <row r="208" spans="45:48" x14ac:dyDescent="0.25">
      <c r="AS208">
        <f t="shared" si="34"/>
        <v>198</v>
      </c>
      <c r="AT208">
        <f t="shared" si="31"/>
        <v>9.8000000000000007</v>
      </c>
      <c r="AU208">
        <f t="shared" si="32"/>
        <v>1.9899748742132348</v>
      </c>
      <c r="AV208">
        <f t="shared" si="33"/>
        <v>-1.9899748742132348</v>
      </c>
    </row>
    <row r="209" spans="45:48" x14ac:dyDescent="0.25">
      <c r="AS209">
        <f t="shared" si="34"/>
        <v>199</v>
      </c>
      <c r="AT209">
        <f t="shared" si="31"/>
        <v>9.9000000000000021</v>
      </c>
      <c r="AU209">
        <f t="shared" si="32"/>
        <v>1.4106735979665714</v>
      </c>
      <c r="AV209">
        <f t="shared" si="33"/>
        <v>-1.4106735979665714</v>
      </c>
    </row>
    <row r="210" spans="45:48" x14ac:dyDescent="0.25">
      <c r="AS210">
        <f t="shared" si="34"/>
        <v>200</v>
      </c>
      <c r="AT210">
        <f t="shared" si="31"/>
        <v>10</v>
      </c>
      <c r="AU210">
        <f t="shared" si="32"/>
        <v>0</v>
      </c>
      <c r="AV210">
        <f t="shared" si="33"/>
        <v>0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Scroll Bar 1">
              <controlPr defaultSize="0" autoPict="0">
                <anchor moveWithCells="1">
                  <from>
                    <xdr:col>3</xdr:col>
                    <xdr:colOff>285750</xdr:colOff>
                    <xdr:row>23</xdr:row>
                    <xdr:rowOff>19050</xdr:rowOff>
                  </from>
                  <to>
                    <xdr:col>6</xdr:col>
                    <xdr:colOff>533400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Φύλλα εργασίας</vt:lpstr>
      </vt:variant>
      <vt:variant>
        <vt:i4>5</vt:i4>
      </vt:variant>
      <vt:variant>
        <vt:lpstr>Γραφήματα</vt:lpstr>
      </vt:variant>
      <vt:variant>
        <vt:i4>1</vt:i4>
      </vt:variant>
      <vt:variant>
        <vt:lpstr>Περιοχές με ονόματα</vt:lpstr>
      </vt:variant>
      <vt:variant>
        <vt:i4>42</vt:i4>
      </vt:variant>
    </vt:vector>
  </HeadingPairs>
  <TitlesOfParts>
    <vt:vector size="48" baseType="lpstr">
      <vt:lpstr>parallel</vt:lpstr>
      <vt:lpstr>RAINBOW</vt:lpstr>
      <vt:lpstr>two reflections</vt:lpstr>
      <vt:lpstr>rainbow finite</vt:lpstr>
      <vt:lpstr>one point</vt:lpstr>
      <vt:lpstr>circluls point source</vt:lpstr>
      <vt:lpstr>Al_Farisi_in_degrees</vt:lpstr>
      <vt:lpstr>ANGLE_SOURCE</vt:lpstr>
      <vt:lpstr>caera</vt:lpstr>
      <vt:lpstr>caera1</vt:lpstr>
      <vt:lpstr>cmeso</vt:lpstr>
      <vt:lpstr>cmeso1</vt:lpstr>
      <vt:lpstr>deikths</vt:lpstr>
      <vt:lpstr>deltagon</vt:lpstr>
      <vt:lpstr>dgon</vt:lpstr>
      <vt:lpstr>dkyma</vt:lpstr>
      <vt:lpstr>DWAVE</vt:lpstr>
      <vt:lpstr>f_point</vt:lpstr>
      <vt:lpstr>far_point_rad</vt:lpstr>
      <vt:lpstr>farisi_point</vt:lpstr>
      <vt:lpstr>gonia_pigi</vt:lpstr>
      <vt:lpstr>Index_of_ref</vt:lpstr>
      <vt:lpstr>nd</vt:lpstr>
      <vt:lpstr>ndd</vt:lpstr>
      <vt:lpstr>nnn</vt:lpstr>
      <vt:lpstr>PI</vt:lpstr>
      <vt:lpstr>radius_rain</vt:lpstr>
      <vt:lpstr>RCYCLE</vt:lpstr>
      <vt:lpstr>RCYCLE2</vt:lpstr>
      <vt:lpstr>sin_far</vt:lpstr>
      <vt:lpstr>STEP</vt:lpstr>
      <vt:lpstr>STEP2</vt:lpstr>
      <vt:lpstr>STEP22</vt:lpstr>
      <vt:lpstr>STEPp</vt:lpstr>
      <vt:lpstr>t</vt:lpstr>
      <vt:lpstr>tt</vt:lpstr>
      <vt:lpstr>x_pigis2</vt:lpstr>
      <vt:lpstr>x_source</vt:lpstr>
      <vt:lpstr>XARXI</vt:lpstr>
      <vt:lpstr>XARXI2</vt:lpstr>
      <vt:lpstr>xc</vt:lpstr>
      <vt:lpstr>xcc</vt:lpstr>
      <vt:lpstr>y_pigis</vt:lpstr>
      <vt:lpstr>y_pigis2</vt:lpstr>
      <vt:lpstr>y_source</vt:lpstr>
      <vt:lpstr>yarxi</vt:lpstr>
      <vt:lpstr>yc</vt:lpstr>
      <vt:lpstr>ycc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Pavlos Mihas</dc:creator>
  <cp:lastModifiedBy>Pavlos Michas</cp:lastModifiedBy>
  <dcterms:created xsi:type="dcterms:W3CDTF">2011-03-03T11:23:22Z</dcterms:created>
  <dcterms:modified xsi:type="dcterms:W3CDTF">2016-05-10T20:09:00Z</dcterms:modified>
</cp:coreProperties>
</file>